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Gebruikersgegevens\druddeca\Desktop\Documenten_nieuw_internet\"/>
    </mc:Choice>
  </mc:AlternateContent>
  <bookViews>
    <workbookView xWindow="10125" yWindow="45" windowWidth="11505" windowHeight="10005" tabRatio="704"/>
  </bookViews>
  <sheets>
    <sheet name="Handleiding" sheetId="40" r:id="rId1"/>
    <sheet name="ResultatenEPB" sheetId="24" r:id="rId2"/>
    <sheet name="Gegevensinvoer" sheetId="42" r:id="rId3"/>
    <sheet name="E-peil" sheetId="38" r:id="rId4"/>
    <sheet name="Parameters" sheetId="5" state="hidden" r:id="rId5"/>
    <sheet name="SWW" sheetId="36" state="hidden" r:id="rId6"/>
    <sheet name="zonnecollector" sheetId="41" state="hidden" r:id="rId7"/>
    <sheet name="Berekeningsresultaten" sheetId="20" r:id="rId8"/>
  </sheets>
  <calcPr calcId="152511"/>
</workbook>
</file>

<file path=xl/calcChain.xml><?xml version="1.0" encoding="utf-8"?>
<calcChain xmlns="http://schemas.openxmlformats.org/spreadsheetml/2006/main">
  <c r="C17" i="42" l="1"/>
  <c r="O80" i="20"/>
  <c r="D17" i="38"/>
  <c r="D20" i="38"/>
  <c r="D18" i="36"/>
  <c r="B46" i="5"/>
  <c r="O79" i="20"/>
  <c r="O81" i="20"/>
  <c r="D46" i="36"/>
  <c r="D47" i="36"/>
  <c r="B98" i="5"/>
  <c r="B82" i="5"/>
  <c r="B32" i="5"/>
  <c r="B31" i="5"/>
  <c r="B18" i="5"/>
  <c r="E11" i="41"/>
  <c r="G11" i="41" s="1"/>
  <c r="BB40" i="41" s="1"/>
  <c r="E12" i="41"/>
  <c r="B75" i="5"/>
  <c r="B70" i="5"/>
  <c r="B67" i="5"/>
  <c r="B61" i="5"/>
  <c r="K52" i="5"/>
  <c r="K51" i="5"/>
  <c r="B51" i="5"/>
  <c r="E51" i="5" s="1"/>
  <c r="M74" i="5"/>
  <c r="M73" i="5"/>
  <c r="M72" i="5"/>
  <c r="K62" i="5"/>
  <c r="B83" i="5"/>
  <c r="B84" i="5"/>
  <c r="D4" i="36"/>
  <c r="D22" i="38"/>
  <c r="D50" i="20"/>
  <c r="E50" i="20"/>
  <c r="F50" i="20"/>
  <c r="G50" i="20"/>
  <c r="H50" i="20"/>
  <c r="I50" i="20"/>
  <c r="J50" i="20"/>
  <c r="K50" i="20"/>
  <c r="L50" i="20"/>
  <c r="M50" i="20"/>
  <c r="N50" i="20"/>
  <c r="C50" i="20"/>
  <c r="D22" i="20"/>
  <c r="E22" i="20"/>
  <c r="F22" i="20"/>
  <c r="O22" i="20" s="1"/>
  <c r="G22" i="20"/>
  <c r="H22" i="20"/>
  <c r="I22" i="20"/>
  <c r="J22" i="20"/>
  <c r="K22" i="20"/>
  <c r="L22" i="20"/>
  <c r="M22" i="20"/>
  <c r="N22" i="20"/>
  <c r="C22" i="20"/>
  <c r="B45" i="5"/>
  <c r="C108" i="5"/>
  <c r="D19" i="20"/>
  <c r="K19" i="20"/>
  <c r="I19" i="20"/>
  <c r="G19" i="20"/>
  <c r="C19" i="20"/>
  <c r="N19" i="20"/>
  <c r="L19" i="20"/>
  <c r="H19" i="20"/>
  <c r="F19" i="20"/>
  <c r="C118" i="5"/>
  <c r="C117" i="5"/>
  <c r="D45" i="20"/>
  <c r="F45" i="20"/>
  <c r="J45" i="20"/>
  <c r="L45" i="20"/>
  <c r="N45" i="20"/>
  <c r="I45" i="20"/>
  <c r="K45" i="20"/>
  <c r="M45" i="20"/>
  <c r="E45" i="20"/>
  <c r="D22" i="36"/>
  <c r="D45" i="36"/>
  <c r="E9" i="41" s="1"/>
  <c r="C40" i="20"/>
  <c r="B44" i="5"/>
  <c r="D13" i="38"/>
  <c r="D23" i="38" s="1"/>
  <c r="B89" i="5"/>
  <c r="B43" i="5"/>
  <c r="D41" i="36"/>
  <c r="D32" i="36"/>
  <c r="C107" i="5"/>
  <c r="D12" i="38"/>
  <c r="C67" i="20"/>
  <c r="F67" i="20"/>
  <c r="N67" i="20"/>
  <c r="E67" i="20"/>
  <c r="I67" i="20"/>
  <c r="D67" i="20"/>
  <c r="H67" i="20"/>
  <c r="L67" i="20"/>
  <c r="B93" i="5"/>
  <c r="C55" i="20"/>
  <c r="B125" i="5"/>
  <c r="B126" i="5"/>
  <c r="B127" i="5"/>
  <c r="B128" i="5"/>
  <c r="M5" i="36"/>
  <c r="D15" i="36"/>
  <c r="M7" i="36"/>
  <c r="N5" i="36"/>
  <c r="N7" i="36"/>
  <c r="O5" i="36"/>
  <c r="O7" i="36"/>
  <c r="P5" i="36"/>
  <c r="P7" i="36"/>
  <c r="Q5" i="36"/>
  <c r="Q7" i="36"/>
  <c r="R5" i="36"/>
  <c r="R7" i="36"/>
  <c r="S5" i="36"/>
  <c r="S7" i="36"/>
  <c r="T5" i="36"/>
  <c r="T7" i="36"/>
  <c r="U5" i="36"/>
  <c r="U7" i="36"/>
  <c r="V5" i="36"/>
  <c r="V7" i="36"/>
  <c r="W5" i="36"/>
  <c r="W7" i="36"/>
  <c r="X5" i="36"/>
  <c r="X7" i="36"/>
  <c r="H30" i="36"/>
  <c r="G12" i="41"/>
  <c r="E14" i="41"/>
  <c r="C43" i="20"/>
  <c r="C111" i="5"/>
  <c r="C112" i="5"/>
  <c r="C113" i="5"/>
  <c r="C36" i="20"/>
  <c r="D36" i="20" s="1"/>
  <c r="E36" i="20"/>
  <c r="F36" i="20" s="1"/>
  <c r="G36" i="20" s="1"/>
  <c r="H36" i="20" s="1"/>
  <c r="I36" i="20" s="1"/>
  <c r="J36" i="20" s="1"/>
  <c r="K36" i="20"/>
  <c r="L36" i="20" s="1"/>
  <c r="M36" i="20" s="1"/>
  <c r="N36" i="20" s="1"/>
  <c r="G10" i="41"/>
  <c r="P36" i="41"/>
  <c r="C41" i="41"/>
  <c r="C42" i="41"/>
  <c r="C43" i="41"/>
  <c r="E36" i="41"/>
  <c r="D40" i="41"/>
  <c r="O36" i="41"/>
  <c r="N36" i="41"/>
  <c r="M36" i="41"/>
  <c r="L36" i="41"/>
  <c r="K36" i="41"/>
  <c r="J36" i="41"/>
  <c r="I36" i="41"/>
  <c r="H36" i="41"/>
  <c r="G36" i="41"/>
  <c r="F36" i="41"/>
  <c r="D42" i="41"/>
  <c r="D41" i="41"/>
  <c r="L40" i="41"/>
  <c r="J40" i="41"/>
  <c r="F40" i="41"/>
  <c r="P10" i="41"/>
  <c r="P11" i="41" s="1"/>
  <c r="D26" i="36"/>
  <c r="N6" i="36"/>
  <c r="O6" i="36"/>
  <c r="P6" i="36"/>
  <c r="Q6" i="36"/>
  <c r="R6" i="36"/>
  <c r="S6" i="36"/>
  <c r="T6" i="36"/>
  <c r="U6" i="36"/>
  <c r="V6" i="36"/>
  <c r="W6" i="36"/>
  <c r="X6" i="36"/>
  <c r="M6" i="36"/>
  <c r="Z5" i="36"/>
  <c r="P8" i="5"/>
  <c r="Q6" i="5"/>
  <c r="Q7" i="5"/>
  <c r="H29" i="36"/>
  <c r="D31" i="36"/>
  <c r="D31" i="5"/>
  <c r="D32" i="5"/>
  <c r="E32" i="5"/>
  <c r="E34" i="5"/>
  <c r="E31" i="5"/>
  <c r="F34" i="5"/>
  <c r="O13" i="24"/>
  <c r="B88" i="5"/>
  <c r="C11" i="5"/>
  <c r="D11" i="5"/>
  <c r="E11" i="5"/>
  <c r="F11" i="5"/>
  <c r="G11" i="5" s="1"/>
  <c r="H11" i="5" s="1"/>
  <c r="I11" i="5" s="1"/>
  <c r="J11" i="5"/>
  <c r="K11" i="5" s="1"/>
  <c r="L11" i="5" s="1"/>
  <c r="M11" i="5" s="1"/>
  <c r="O14" i="24"/>
  <c r="O15" i="24"/>
  <c r="O16" i="24"/>
  <c r="O18" i="24"/>
  <c r="O20" i="24"/>
  <c r="O22" i="24"/>
  <c r="O36" i="24"/>
  <c r="O34" i="24"/>
  <c r="O32" i="24"/>
  <c r="O30" i="24"/>
  <c r="O29" i="24"/>
  <c r="O28" i="24"/>
  <c r="O27" i="24"/>
  <c r="AT40" i="41"/>
  <c r="E42" i="41"/>
  <c r="O41" i="41"/>
  <c r="AM41" i="41" s="1"/>
  <c r="I41" i="41"/>
  <c r="D55" i="20"/>
  <c r="F31" i="36"/>
  <c r="L55" i="20"/>
  <c r="C34" i="20"/>
  <c r="D34" i="20" s="1"/>
  <c r="E34" i="20" s="1"/>
  <c r="F34" i="20" s="1"/>
  <c r="G34" i="20" s="1"/>
  <c r="H34" i="20" s="1"/>
  <c r="I34" i="20" s="1"/>
  <c r="J34" i="20" s="1"/>
  <c r="K34" i="20" s="1"/>
  <c r="L34" i="20" s="1"/>
  <c r="M34" i="20" s="1"/>
  <c r="N34" i="20" s="1"/>
  <c r="H55" i="20"/>
  <c r="N55" i="20"/>
  <c r="J55" i="20"/>
  <c r="F55" i="20"/>
  <c r="D34" i="5"/>
  <c r="M55" i="20"/>
  <c r="K55" i="20"/>
  <c r="I55" i="20"/>
  <c r="G55" i="20"/>
  <c r="E55" i="20"/>
  <c r="U10" i="36"/>
  <c r="P41" i="41"/>
  <c r="N41" i="41"/>
  <c r="AX41" i="41" s="1"/>
  <c r="R10" i="36"/>
  <c r="BA41" i="41"/>
  <c r="B34" i="5"/>
  <c r="G29" i="41"/>
  <c r="Q42" i="41"/>
  <c r="AC42" i="41"/>
  <c r="AA41" i="41"/>
  <c r="AY41" i="41"/>
  <c r="BW41" i="41"/>
  <c r="AZ41" i="41"/>
  <c r="CV41" i="41" s="1"/>
  <c r="AB41" i="41"/>
  <c r="BX41" i="41"/>
  <c r="AN41" i="41"/>
  <c r="O50" i="20"/>
  <c r="BV41" i="41"/>
  <c r="B37" i="5"/>
  <c r="C48" i="20"/>
  <c r="D18" i="38"/>
  <c r="C21" i="20"/>
  <c r="C24" i="20"/>
  <c r="D14" i="38"/>
  <c r="B55" i="5"/>
  <c r="B50" i="5"/>
  <c r="E50" i="5" s="1"/>
  <c r="E52" i="5" s="1"/>
  <c r="B68" i="5"/>
  <c r="E14" i="20" s="1"/>
  <c r="D75" i="20"/>
  <c r="D76" i="20"/>
  <c r="D77" i="20"/>
  <c r="H75" i="20"/>
  <c r="H76" i="20" s="1"/>
  <c r="H77" i="20" s="1"/>
  <c r="C75" i="20"/>
  <c r="C76" i="20"/>
  <c r="J75" i="20"/>
  <c r="J76" i="20"/>
  <c r="J77" i="20"/>
  <c r="K75" i="20"/>
  <c r="K76" i="20" s="1"/>
  <c r="K77" i="20" s="1"/>
  <c r="N75" i="20"/>
  <c r="N76" i="20"/>
  <c r="N77" i="20" s="1"/>
  <c r="F75" i="20"/>
  <c r="F76" i="20"/>
  <c r="F77" i="20"/>
  <c r="L75" i="20"/>
  <c r="L76" i="20"/>
  <c r="L77" i="20"/>
  <c r="I75" i="20"/>
  <c r="I76" i="20" s="1"/>
  <c r="I77" i="20" s="1"/>
  <c r="G75" i="20"/>
  <c r="G76" i="20"/>
  <c r="G77" i="20" s="1"/>
  <c r="M75" i="20"/>
  <c r="M76" i="20"/>
  <c r="M77" i="20"/>
  <c r="D15" i="38"/>
  <c r="D16" i="38"/>
  <c r="E75" i="20"/>
  <c r="E76" i="20" s="1"/>
  <c r="E77" i="20" s="1"/>
  <c r="K50" i="5"/>
  <c r="C50" i="5"/>
  <c r="F50" i="5"/>
  <c r="O75" i="20"/>
  <c r="D11" i="20"/>
  <c r="L11" i="20" l="1"/>
  <c r="M11" i="20"/>
  <c r="O76" i="20"/>
  <c r="C77" i="20"/>
  <c r="O77" i="20" s="1"/>
  <c r="J11" i="20"/>
  <c r="E11" i="20"/>
  <c r="F14" i="20"/>
  <c r="G14" i="20"/>
  <c r="F11" i="20"/>
  <c r="C14" i="20"/>
  <c r="H11" i="20"/>
  <c r="N11" i="20"/>
  <c r="J14" i="20"/>
  <c r="K14" i="20"/>
  <c r="K11" i="20"/>
  <c r="I14" i="20"/>
  <c r="I11" i="20"/>
  <c r="G11" i="20"/>
  <c r="L14" i="20"/>
  <c r="N14" i="20"/>
  <c r="M14" i="20"/>
  <c r="D14" i="20"/>
  <c r="C11" i="20"/>
  <c r="H14" i="20"/>
  <c r="CT41" i="41"/>
  <c r="BD43" i="41"/>
  <c r="BI41" i="41"/>
  <c r="L29" i="41"/>
  <c r="CU41" i="41"/>
  <c r="F51" i="5"/>
  <c r="F52" i="5" s="1"/>
  <c r="K30" i="41"/>
  <c r="M30" i="41"/>
  <c r="P29" i="41"/>
  <c r="BJ40" i="41"/>
  <c r="N29" i="41"/>
  <c r="BA40" i="41"/>
  <c r="E30" i="41"/>
  <c r="I30" i="41"/>
  <c r="H30" i="41"/>
  <c r="L30" i="41"/>
  <c r="P30" i="41"/>
  <c r="BF40" i="41"/>
  <c r="BF41" i="41"/>
  <c r="BH41" i="41"/>
  <c r="BK40" i="41"/>
  <c r="BJ42" i="41"/>
  <c r="J29" i="41"/>
  <c r="BE40" i="41"/>
  <c r="BL42" i="41"/>
  <c r="F29" i="41"/>
  <c r="E29" i="41"/>
  <c r="I29" i="41"/>
  <c r="M29" i="41"/>
  <c r="BB41" i="41"/>
  <c r="BC40" i="41"/>
  <c r="BD41" i="41"/>
  <c r="BG42" i="41"/>
  <c r="O30" i="41"/>
  <c r="BA42" i="41"/>
  <c r="H29" i="41"/>
  <c r="K29" i="41"/>
  <c r="BC42" i="41"/>
  <c r="BD40" i="41"/>
  <c r="BE41" i="41"/>
  <c r="BE42" i="41"/>
  <c r="BH43" i="41"/>
  <c r="BL40" i="41"/>
  <c r="BK41" i="41"/>
  <c r="BG41" i="41"/>
  <c r="BH42" i="41"/>
  <c r="F30" i="41"/>
  <c r="N30" i="41"/>
  <c r="BD42" i="41"/>
  <c r="BI42" i="41"/>
  <c r="BJ41" i="41"/>
  <c r="BL41" i="41"/>
  <c r="O29" i="41"/>
  <c r="BC41" i="41"/>
  <c r="BF42" i="41"/>
  <c r="G30" i="41"/>
  <c r="BI40" i="41"/>
  <c r="BK42" i="41"/>
  <c r="BH40" i="41"/>
  <c r="B52" i="5"/>
  <c r="BB42" i="41"/>
  <c r="AL41" i="41"/>
  <c r="Z41" i="41"/>
  <c r="C32" i="20"/>
  <c r="K32" i="20"/>
  <c r="E32" i="20"/>
  <c r="J32" i="20"/>
  <c r="G32" i="20"/>
  <c r="H32" i="20"/>
  <c r="D32" i="20"/>
  <c r="N32" i="20"/>
  <c r="I32" i="20"/>
  <c r="L32" i="20"/>
  <c r="F32" i="20"/>
  <c r="M32" i="20"/>
  <c r="B63" i="5"/>
  <c r="B62" i="5"/>
  <c r="B57" i="5" s="1"/>
  <c r="D52" i="36"/>
  <c r="D6" i="36"/>
  <c r="D8" i="36" s="1"/>
  <c r="D9" i="36" s="1"/>
  <c r="D13" i="36" s="1"/>
  <c r="D16" i="36"/>
  <c r="B72" i="5"/>
  <c r="BG40" i="41"/>
  <c r="J30" i="41"/>
  <c r="AG41" i="41"/>
  <c r="U41" i="41"/>
  <c r="BQ41" i="41"/>
  <c r="AS41" i="41"/>
  <c r="CO41" i="41" s="1"/>
  <c r="X40" i="41"/>
  <c r="BT40" i="41"/>
  <c r="AV40" i="41"/>
  <c r="AJ40" i="41"/>
  <c r="BM42" i="41"/>
  <c r="AO42" i="41"/>
  <c r="CK42" i="41" s="1"/>
  <c r="M10" i="36"/>
  <c r="N10" i="36"/>
  <c r="N11" i="36" s="1"/>
  <c r="Q10" i="36"/>
  <c r="V10" i="36"/>
  <c r="W10" i="36"/>
  <c r="W11" i="36" s="1"/>
  <c r="S10" i="36"/>
  <c r="S11" i="36" s="1"/>
  <c r="X10" i="36"/>
  <c r="O10" i="36"/>
  <c r="T10" i="36"/>
  <c r="T11" i="36" s="1"/>
  <c r="P10" i="36"/>
  <c r="P11" i="36" s="1"/>
  <c r="BR40" i="41"/>
  <c r="V40" i="41"/>
  <c r="CP40" i="41" s="1"/>
  <c r="AH40" i="41"/>
  <c r="BN40" i="41"/>
  <c r="R40" i="41"/>
  <c r="AP40" i="41"/>
  <c r="CL40" i="41" s="1"/>
  <c r="AD40" i="41"/>
  <c r="C44" i="41"/>
  <c r="D43" i="41"/>
  <c r="BA43" i="41" s="1"/>
  <c r="G43" i="41"/>
  <c r="G41" i="41"/>
  <c r="M40" i="41"/>
  <c r="I40" i="41"/>
  <c r="G40" i="41"/>
  <c r="I42" i="41"/>
  <c r="H41" i="41"/>
  <c r="H42" i="41"/>
  <c r="J42" i="41"/>
  <c r="M42" i="41"/>
  <c r="J41" i="41"/>
  <c r="E41" i="41"/>
  <c r="E40" i="41"/>
  <c r="P42" i="41"/>
  <c r="K42" i="41"/>
  <c r="L41" i="41"/>
  <c r="O40" i="41"/>
  <c r="K40" i="41"/>
  <c r="H40" i="41"/>
  <c r="K41" i="41"/>
  <c r="O42" i="41"/>
  <c r="N42" i="41"/>
  <c r="P40" i="41"/>
  <c r="G42" i="41"/>
  <c r="M41" i="41"/>
  <c r="F41" i="41"/>
  <c r="L42" i="41"/>
  <c r="F42" i="41"/>
  <c r="N40" i="41"/>
  <c r="E43" i="41"/>
  <c r="J43" i="41"/>
  <c r="G67" i="20"/>
  <c r="J67" i="20"/>
  <c r="M67" i="20"/>
  <c r="M19" i="20"/>
  <c r="E19" i="20"/>
  <c r="J19" i="20"/>
  <c r="K67" i="20"/>
  <c r="H45" i="20"/>
  <c r="G45" i="20"/>
  <c r="C45" i="20"/>
  <c r="BM43" i="41" l="1"/>
  <c r="AC43" i="41"/>
  <c r="AO43" i="41"/>
  <c r="Q43" i="41"/>
  <c r="AK41" i="41"/>
  <c r="Y41" i="41"/>
  <c r="AW41" i="41"/>
  <c r="CS41" i="41" s="1"/>
  <c r="BU41" i="41"/>
  <c r="CG41" i="41" s="1"/>
  <c r="T40" i="41"/>
  <c r="AF40" i="41"/>
  <c r="AR40" i="41"/>
  <c r="CN40" i="41" s="1"/>
  <c r="BP40" i="41"/>
  <c r="CB40" i="41" s="1"/>
  <c r="AW42" i="41"/>
  <c r="AK42" i="41"/>
  <c r="Y42" i="41"/>
  <c r="BU42" i="41"/>
  <c r="CG42" i="41" s="1"/>
  <c r="B71" i="5"/>
  <c r="B73" i="5"/>
  <c r="N8" i="20"/>
  <c r="N20" i="20" s="1"/>
  <c r="K8" i="20"/>
  <c r="K20" i="20" s="1"/>
  <c r="L8" i="20"/>
  <c r="L20" i="20" s="1"/>
  <c r="F8" i="20"/>
  <c r="F20" i="20" s="1"/>
  <c r="C8" i="20"/>
  <c r="E8" i="20"/>
  <c r="E20" i="20" s="1"/>
  <c r="C109" i="5"/>
  <c r="C106" i="5" s="1"/>
  <c r="C103" i="5" s="1"/>
  <c r="G8" i="20"/>
  <c r="G20" i="20" s="1"/>
  <c r="M8" i="20"/>
  <c r="M20" i="20" s="1"/>
  <c r="J8" i="20"/>
  <c r="J20" i="20" s="1"/>
  <c r="H8" i="20"/>
  <c r="H20" i="20" s="1"/>
  <c r="D8" i="20"/>
  <c r="D20" i="20" s="1"/>
  <c r="I8" i="20"/>
  <c r="I20" i="20" s="1"/>
  <c r="AH43" i="41"/>
  <c r="V43" i="41"/>
  <c r="BR43" i="41"/>
  <c r="CD43" i="41" s="1"/>
  <c r="AT43" i="41"/>
  <c r="CP43" i="41" s="1"/>
  <c r="AE42" i="41"/>
  <c r="AQ42" i="41"/>
  <c r="S42" i="41"/>
  <c r="BO42" i="41"/>
  <c r="CA42" i="41" s="1"/>
  <c r="W40" i="41"/>
  <c r="AU40" i="41"/>
  <c r="BS40" i="41"/>
  <c r="CE40" i="41" s="1"/>
  <c r="AI40" i="41"/>
  <c r="AO40" i="41"/>
  <c r="BM40" i="41"/>
  <c r="AC40" i="41"/>
  <c r="Q40" i="41"/>
  <c r="V42" i="41"/>
  <c r="AT42" i="41"/>
  <c r="AH42" i="41"/>
  <c r="BR42" i="41"/>
  <c r="CD42" i="41" s="1"/>
  <c r="BO40" i="41"/>
  <c r="CA40" i="41" s="1"/>
  <c r="AE40" i="41"/>
  <c r="S40" i="41"/>
  <c r="AQ40" i="41"/>
  <c r="CM40" i="41" s="1"/>
  <c r="CD40" i="41"/>
  <c r="Y10" i="36"/>
  <c r="M11" i="36"/>
  <c r="CC41" i="41"/>
  <c r="D33" i="36"/>
  <c r="F33" i="36" s="1"/>
  <c r="R11" i="36"/>
  <c r="BB43" i="41"/>
  <c r="BF43" i="41"/>
  <c r="AB40" i="41"/>
  <c r="AZ40" i="41"/>
  <c r="CV40" i="41" s="1"/>
  <c r="BX40" i="41"/>
  <c r="CJ40" i="41" s="1"/>
  <c r="AN40" i="41"/>
  <c r="AA40" i="41"/>
  <c r="AY40" i="41"/>
  <c r="CU40" i="41" s="1"/>
  <c r="BW40" i="41"/>
  <c r="CI40" i="41" s="1"/>
  <c r="AM40" i="41"/>
  <c r="O43" i="41"/>
  <c r="BQ42" i="41"/>
  <c r="CC42" i="41" s="1"/>
  <c r="AG42" i="41"/>
  <c r="U42" i="41"/>
  <c r="AS42" i="41"/>
  <c r="CO42" i="41" s="1"/>
  <c r="BZ40" i="41"/>
  <c r="O11" i="36"/>
  <c r="V11" i="36"/>
  <c r="CF40" i="41"/>
  <c r="D23" i="36"/>
  <c r="F13" i="36"/>
  <c r="O11" i="20"/>
  <c r="O14" i="20"/>
  <c r="AX40" i="41"/>
  <c r="AL40" i="41"/>
  <c r="Z40" i="41"/>
  <c r="BV40" i="41"/>
  <c r="CH40" i="41" s="1"/>
  <c r="BS42" i="41"/>
  <c r="CE42" i="41" s="1"/>
  <c r="W42" i="41"/>
  <c r="AU42" i="41"/>
  <c r="AI42" i="41"/>
  <c r="AQ41" i="41"/>
  <c r="S41" i="41"/>
  <c r="AE41" i="41"/>
  <c r="BO41" i="41"/>
  <c r="CA41" i="41" s="1"/>
  <c r="AP42" i="41"/>
  <c r="CL42" i="41" s="1"/>
  <c r="BN42" i="41"/>
  <c r="BZ42" i="41" s="1"/>
  <c r="R42" i="41"/>
  <c r="AD42" i="41"/>
  <c r="AB42" i="41"/>
  <c r="AN42" i="41"/>
  <c r="AZ42" i="41"/>
  <c r="BX42" i="41"/>
  <c r="CJ42" i="41" s="1"/>
  <c r="AC41" i="41"/>
  <c r="BM41" i="41"/>
  <c r="BY41" i="41" s="1"/>
  <c r="AO41" i="41"/>
  <c r="Q41" i="41"/>
  <c r="S43" i="41"/>
  <c r="AE43" i="41"/>
  <c r="AQ43" i="41"/>
  <c r="BO43" i="41"/>
  <c r="CA43" i="41" s="1"/>
  <c r="N43" i="41"/>
  <c r="I43" i="41"/>
  <c r="H43" i="41"/>
  <c r="F43" i="41"/>
  <c r="P43" i="41"/>
  <c r="CR40" i="41"/>
  <c r="B58" i="5"/>
  <c r="BI43" i="41"/>
  <c r="BC43" i="41"/>
  <c r="O45" i="20"/>
  <c r="AV42" i="41"/>
  <c r="X42" i="41"/>
  <c r="BT42" i="41"/>
  <c r="CF42" i="41" s="1"/>
  <c r="AJ42" i="41"/>
  <c r="AA42" i="41"/>
  <c r="BW42" i="41"/>
  <c r="CI42" i="41" s="1"/>
  <c r="AM42" i="41"/>
  <c r="AY42" i="41"/>
  <c r="AT41" i="41"/>
  <c r="V41" i="41"/>
  <c r="AH41" i="41"/>
  <c r="BR41" i="41"/>
  <c r="CD41" i="41" s="1"/>
  <c r="AF42" i="41"/>
  <c r="BP42" i="41"/>
  <c r="CB42" i="41" s="1"/>
  <c r="T42" i="41"/>
  <c r="AR42" i="41"/>
  <c r="BQ40" i="41"/>
  <c r="CC40" i="41" s="1"/>
  <c r="AS40" i="41"/>
  <c r="CO40" i="41" s="1"/>
  <c r="AG40" i="41"/>
  <c r="U40" i="41"/>
  <c r="C45" i="41"/>
  <c r="D44" i="41"/>
  <c r="O19" i="20"/>
  <c r="O67" i="20"/>
  <c r="M43" i="41"/>
  <c r="L43" i="41"/>
  <c r="AD41" i="41"/>
  <c r="BN41" i="41"/>
  <c r="BZ41" i="41" s="1"/>
  <c r="AP41" i="41"/>
  <c r="R41" i="41"/>
  <c r="AX42" i="41"/>
  <c r="CT42" i="41" s="1"/>
  <c r="Z42" i="41"/>
  <c r="BV42" i="41"/>
  <c r="CH42" i="41" s="1"/>
  <c r="AL42" i="41"/>
  <c r="AU41" i="41"/>
  <c r="CQ41" i="41" s="1"/>
  <c r="W41" i="41"/>
  <c r="AI41" i="41"/>
  <c r="BS41" i="41"/>
  <c r="CE41" i="41" s="1"/>
  <c r="AJ41" i="41"/>
  <c r="BT41" i="41"/>
  <c r="CF41" i="41" s="1"/>
  <c r="AV41" i="41"/>
  <c r="X41" i="41"/>
  <c r="K43" i="41"/>
  <c r="BP41" i="41"/>
  <c r="CB41" i="41" s="1"/>
  <c r="AF41" i="41"/>
  <c r="T41" i="41"/>
  <c r="AR41" i="41"/>
  <c r="CN41" i="41" s="1"/>
  <c r="Y40" i="41"/>
  <c r="BU40" i="41"/>
  <c r="CG40" i="41" s="1"/>
  <c r="AK40" i="41"/>
  <c r="AW40" i="41"/>
  <c r="CS40" i="41" s="1"/>
  <c r="U11" i="36"/>
  <c r="X11" i="36"/>
  <c r="Q11" i="36"/>
  <c r="BY42" i="41"/>
  <c r="BJ43" i="41"/>
  <c r="BG43" i="41"/>
  <c r="BE43" i="41"/>
  <c r="BK43" i="41"/>
  <c r="BL43" i="41"/>
  <c r="DI42" i="41" l="1"/>
  <c r="EG42" i="41" s="1"/>
  <c r="CW42" i="41"/>
  <c r="DU42" i="41" s="1"/>
  <c r="BV43" i="41"/>
  <c r="CH43" i="41" s="1"/>
  <c r="AX43" i="41"/>
  <c r="AL43" i="41"/>
  <c r="Z43" i="41"/>
  <c r="N8" i="36"/>
  <c r="N9" i="36" s="1"/>
  <c r="P8" i="36"/>
  <c r="P9" i="36" s="1"/>
  <c r="R8" i="36"/>
  <c r="R9" i="36" s="1"/>
  <c r="T8" i="36"/>
  <c r="T9" i="36" s="1"/>
  <c r="V8" i="36"/>
  <c r="V9" i="36" s="1"/>
  <c r="X8" i="36"/>
  <c r="X9" i="36" s="1"/>
  <c r="M8" i="36"/>
  <c r="M9" i="36" s="1"/>
  <c r="U8" i="36"/>
  <c r="U9" i="36" s="1"/>
  <c r="S8" i="36"/>
  <c r="S9" i="36" s="1"/>
  <c r="Q8" i="36"/>
  <c r="Q9" i="36" s="1"/>
  <c r="W8" i="36"/>
  <c r="W9" i="36" s="1"/>
  <c r="O8" i="36"/>
  <c r="O9" i="36" s="1"/>
  <c r="CX40" i="41"/>
  <c r="DV40" i="41" s="1"/>
  <c r="DJ40" i="41"/>
  <c r="EH40" i="41" s="1"/>
  <c r="DM42" i="41"/>
  <c r="EK42" i="41" s="1"/>
  <c r="DA42" i="41"/>
  <c r="DY42" i="41" s="1"/>
  <c r="DM41" i="41"/>
  <c r="EK41" i="41" s="1"/>
  <c r="DA41" i="41"/>
  <c r="DY41" i="41" s="1"/>
  <c r="DB42" i="41"/>
  <c r="DZ42" i="41" s="1"/>
  <c r="DN42" i="41"/>
  <c r="DK42" i="41"/>
  <c r="CY42" i="41"/>
  <c r="DQ42" i="41"/>
  <c r="EO42" i="41" s="1"/>
  <c r="DE42" i="41"/>
  <c r="CR42" i="41"/>
  <c r="BN43" i="41"/>
  <c r="BZ43" i="41" s="1"/>
  <c r="AP43" i="41"/>
  <c r="CL43" i="41" s="1"/>
  <c r="AD43" i="41"/>
  <c r="R43" i="41"/>
  <c r="DO42" i="41"/>
  <c r="DC42" i="41"/>
  <c r="DB43" i="41"/>
  <c r="DZ43" i="41" s="1"/>
  <c r="DN43" i="41"/>
  <c r="EL43" i="41" s="1"/>
  <c r="O8" i="20"/>
  <c r="C20" i="20"/>
  <c r="N25" i="20"/>
  <c r="CK43" i="41"/>
  <c r="DE40" i="41"/>
  <c r="EC40" i="41" s="1"/>
  <c r="DQ40" i="41"/>
  <c r="EO40" i="41" s="1"/>
  <c r="CR41" i="41"/>
  <c r="DR42" i="41"/>
  <c r="EP42" i="41" s="1"/>
  <c r="DF42" i="41"/>
  <c r="ED42" i="41" s="1"/>
  <c r="CL41" i="41"/>
  <c r="Y43" i="41"/>
  <c r="AK43" i="41"/>
  <c r="BU43" i="41"/>
  <c r="CG43" i="41" s="1"/>
  <c r="AW43" i="41"/>
  <c r="E25" i="20"/>
  <c r="CN42" i="41"/>
  <c r="DN41" i="41"/>
  <c r="EL41" i="41" s="1"/>
  <c r="DB41" i="41"/>
  <c r="CU42" i="41"/>
  <c r="M9" i="20"/>
  <c r="M46" i="20" s="1"/>
  <c r="E9" i="20"/>
  <c r="E46" i="20" s="1"/>
  <c r="F9" i="20"/>
  <c r="F46" i="20" s="1"/>
  <c r="L9" i="20"/>
  <c r="L46" i="20" s="1"/>
  <c r="N9" i="20"/>
  <c r="N46" i="20" s="1"/>
  <c r="H9" i="20"/>
  <c r="H46" i="20" s="1"/>
  <c r="C41" i="20"/>
  <c r="C42" i="20" s="1"/>
  <c r="C9" i="20"/>
  <c r="K9" i="20"/>
  <c r="K46" i="20" s="1"/>
  <c r="D9" i="20"/>
  <c r="D46" i="20" s="1"/>
  <c r="J9" i="20"/>
  <c r="J46" i="20" s="1"/>
  <c r="I9" i="20"/>
  <c r="I46" i="20" s="1"/>
  <c r="G9" i="20"/>
  <c r="G46" i="20" s="1"/>
  <c r="AR43" i="41"/>
  <c r="CN43" i="41" s="1"/>
  <c r="AF43" i="41"/>
  <c r="BP43" i="41"/>
  <c r="CB43" i="41" s="1"/>
  <c r="T43" i="41"/>
  <c r="CM43" i="41"/>
  <c r="CK41" i="41"/>
  <c r="CV42" i="41"/>
  <c r="DK41" i="41"/>
  <c r="CY41" i="41"/>
  <c r="DW41" i="41" s="1"/>
  <c r="DR40" i="41"/>
  <c r="DF40" i="41"/>
  <c r="M25" i="20"/>
  <c r="J25" i="20"/>
  <c r="CP42" i="41"/>
  <c r="BY40" i="41"/>
  <c r="CI41" i="41"/>
  <c r="CJ41" i="41"/>
  <c r="CH41" i="41"/>
  <c r="CQ40" i="41"/>
  <c r="CM42" i="41"/>
  <c r="D25" i="20"/>
  <c r="G25" i="20"/>
  <c r="F25" i="20"/>
  <c r="BS43" i="41"/>
  <c r="CE43" i="41" s="1"/>
  <c r="AI43" i="41"/>
  <c r="W43" i="41"/>
  <c r="AU43" i="41"/>
  <c r="L44" i="41"/>
  <c r="BE44" i="41"/>
  <c r="BG44" i="41"/>
  <c r="BL44" i="41"/>
  <c r="K44" i="41"/>
  <c r="I44" i="41"/>
  <c r="H44" i="41"/>
  <c r="M44" i="41"/>
  <c r="P44" i="41"/>
  <c r="BI44" i="41"/>
  <c r="BJ44" i="41"/>
  <c r="F44" i="41"/>
  <c r="BD44" i="41"/>
  <c r="O44" i="41"/>
  <c r="N44" i="41"/>
  <c r="E44" i="41"/>
  <c r="BC44" i="41"/>
  <c r="G44" i="41"/>
  <c r="J44" i="41"/>
  <c r="BF44" i="41"/>
  <c r="BA44" i="41"/>
  <c r="BK44" i="41"/>
  <c r="BH44" i="41"/>
  <c r="BB44" i="41"/>
  <c r="CZ42" i="41"/>
  <c r="DL42" i="41"/>
  <c r="EJ42" i="41" s="1"/>
  <c r="DS42" i="41"/>
  <c r="EQ42" i="41" s="1"/>
  <c r="DG42" i="41"/>
  <c r="EE42" i="41" s="1"/>
  <c r="BX43" i="41"/>
  <c r="CJ43" i="41" s="1"/>
  <c r="AN43" i="41"/>
  <c r="AZ43" i="41"/>
  <c r="CV43" i="41" s="1"/>
  <c r="AB43" i="41"/>
  <c r="K25" i="20"/>
  <c r="DL40" i="41"/>
  <c r="EJ40" i="41" s="1"/>
  <c r="CZ40" i="41"/>
  <c r="DX40" i="41" s="1"/>
  <c r="DQ41" i="41"/>
  <c r="EO41" i="41" s="1"/>
  <c r="DE41" i="41"/>
  <c r="EC41" i="41" s="1"/>
  <c r="DO41" i="41"/>
  <c r="EM41" i="41" s="1"/>
  <c r="DC41" i="41"/>
  <c r="EA41" i="41" s="1"/>
  <c r="BT43" i="41"/>
  <c r="CF43" i="41" s="1"/>
  <c r="AJ43" i="41"/>
  <c r="X43" i="41"/>
  <c r="AV43" i="41"/>
  <c r="C46" i="41"/>
  <c r="D45" i="41"/>
  <c r="DM40" i="41"/>
  <c r="EK40" i="41" s="1"/>
  <c r="DA40" i="41"/>
  <c r="DY40" i="41" s="1"/>
  <c r="CP41" i="41"/>
  <c r="CY43" i="41"/>
  <c r="DK43" i="41"/>
  <c r="EI43" i="41" s="1"/>
  <c r="DH42" i="41"/>
  <c r="EF42" i="41" s="1"/>
  <c r="DT42" i="41"/>
  <c r="ER42" i="41" s="1"/>
  <c r="CM41" i="41"/>
  <c r="CT40" i="41"/>
  <c r="DP40" i="41"/>
  <c r="EN40" i="41" s="1"/>
  <c r="DD40" i="41"/>
  <c r="EB40" i="41" s="1"/>
  <c r="AA43" i="41"/>
  <c r="AY43" i="41"/>
  <c r="CU43" i="41" s="1"/>
  <c r="BW43" i="41"/>
  <c r="CI43" i="41" s="1"/>
  <c r="AM43" i="41"/>
  <c r="Y11" i="36"/>
  <c r="DO40" i="41"/>
  <c r="EM40" i="41" s="1"/>
  <c r="DC40" i="41"/>
  <c r="EA40" i="41" s="1"/>
  <c r="I25" i="20"/>
  <c r="DL41" i="41"/>
  <c r="EJ41" i="41" s="1"/>
  <c r="CZ41" i="41"/>
  <c r="DX41" i="41" s="1"/>
  <c r="DP41" i="41"/>
  <c r="EN41" i="41" s="1"/>
  <c r="DD41" i="41"/>
  <c r="EB41" i="41" s="1"/>
  <c r="CX41" i="41"/>
  <c r="DV41" i="41" s="1"/>
  <c r="DJ41" i="41"/>
  <c r="EH41" i="41" s="1"/>
  <c r="DD42" i="41"/>
  <c r="EB42" i="41" s="1"/>
  <c r="DP42" i="41"/>
  <c r="EN42" i="41" s="1"/>
  <c r="BQ43" i="41"/>
  <c r="CC43" i="41" s="1"/>
  <c r="AG43" i="41"/>
  <c r="U43" i="41"/>
  <c r="AS43" i="41"/>
  <c r="CO43" i="41" s="1"/>
  <c r="CW41" i="41"/>
  <c r="DU41" i="41" s="1"/>
  <c r="DI41" i="41"/>
  <c r="EG41" i="41" s="1"/>
  <c r="DJ42" i="41"/>
  <c r="EH42" i="41" s="1"/>
  <c r="CX42" i="41"/>
  <c r="DV42" i="41" s="1"/>
  <c r="CQ42" i="41"/>
  <c r="DS40" i="41"/>
  <c r="EQ40" i="41" s="1"/>
  <c r="DG40" i="41"/>
  <c r="EE40" i="41" s="1"/>
  <c r="DT40" i="41"/>
  <c r="ER40" i="41" s="1"/>
  <c r="DH40" i="41"/>
  <c r="EF40" i="41" s="1"/>
  <c r="DB40" i="41"/>
  <c r="DZ40" i="41" s="1"/>
  <c r="DN40" i="41"/>
  <c r="EL40" i="41" s="1"/>
  <c r="DK40" i="41"/>
  <c r="EI40" i="41" s="1"/>
  <c r="CY40" i="41"/>
  <c r="DW40" i="41" s="1"/>
  <c r="CK40" i="41"/>
  <c r="H25" i="20"/>
  <c r="L25" i="20"/>
  <c r="G12" i="20"/>
  <c r="J15" i="20"/>
  <c r="D15" i="20"/>
  <c r="G15" i="20"/>
  <c r="E12" i="20"/>
  <c r="C12" i="20"/>
  <c r="H15" i="20"/>
  <c r="I15" i="20"/>
  <c r="C15" i="20"/>
  <c r="D12" i="20"/>
  <c r="J12" i="20"/>
  <c r="I12" i="20"/>
  <c r="M12" i="20"/>
  <c r="K15" i="20"/>
  <c r="F15" i="20"/>
  <c r="L15" i="20"/>
  <c r="H12" i="20"/>
  <c r="N15" i="20"/>
  <c r="M15" i="20"/>
  <c r="L12" i="20"/>
  <c r="N12" i="20"/>
  <c r="E15" i="20"/>
  <c r="F12" i="20"/>
  <c r="K12" i="20"/>
  <c r="CS42" i="41"/>
  <c r="BY43" i="41"/>
  <c r="M49" i="20" l="1"/>
  <c r="M47" i="20" s="1"/>
  <c r="F49" i="20"/>
  <c r="F47" i="20" s="1"/>
  <c r="H49" i="20"/>
  <c r="H47" i="20" s="1"/>
  <c r="DM43" i="41"/>
  <c r="EK43" i="41" s="1"/>
  <c r="DA43" i="41"/>
  <c r="DY43" i="41" s="1"/>
  <c r="BR44" i="41"/>
  <c r="CD44" i="41" s="1"/>
  <c r="AH44" i="41"/>
  <c r="V44" i="41"/>
  <c r="AT44" i="41"/>
  <c r="CP44" i="41" s="1"/>
  <c r="BV44" i="41"/>
  <c r="CH44" i="41" s="1"/>
  <c r="Z44" i="41"/>
  <c r="AL44" i="41"/>
  <c r="AX44" i="41"/>
  <c r="CT44" i="41" s="1"/>
  <c r="H51" i="20"/>
  <c r="H52" i="20" s="1"/>
  <c r="DQ43" i="41"/>
  <c r="DE43" i="41"/>
  <c r="O20" i="20"/>
  <c r="C25" i="20"/>
  <c r="EA42" i="41"/>
  <c r="Y9" i="36"/>
  <c r="D35" i="36" s="1"/>
  <c r="D39" i="36" s="1"/>
  <c r="E49" i="20"/>
  <c r="E47" i="20" s="1"/>
  <c r="K49" i="20"/>
  <c r="K47" i="20" s="1"/>
  <c r="K51" i="20" s="1"/>
  <c r="K52" i="20" s="1"/>
  <c r="O12" i="20"/>
  <c r="S44" i="41"/>
  <c r="BO44" i="41"/>
  <c r="CA44" i="41" s="1"/>
  <c r="AQ44" i="41"/>
  <c r="AE44" i="41"/>
  <c r="AM44" i="41"/>
  <c r="BW44" i="41"/>
  <c r="CI44" i="41" s="1"/>
  <c r="AA44" i="41"/>
  <c r="AY44" i="41"/>
  <c r="CU44" i="41" s="1"/>
  <c r="EI41" i="41"/>
  <c r="N51" i="20"/>
  <c r="N52" i="20" s="1"/>
  <c r="CX43" i="41"/>
  <c r="DV43" i="41" s="1"/>
  <c r="DJ43" i="41"/>
  <c r="EH43" i="41" s="1"/>
  <c r="DW42" i="41"/>
  <c r="CT43" i="41"/>
  <c r="O15" i="20"/>
  <c r="C49" i="20"/>
  <c r="D46" i="41"/>
  <c r="C47" i="41"/>
  <c r="DD43" i="41"/>
  <c r="DP43" i="41"/>
  <c r="EN43" i="41" s="1"/>
  <c r="DT43" i="41"/>
  <c r="ER43" i="41" s="1"/>
  <c r="DH43" i="41"/>
  <c r="EF43" i="41" s="1"/>
  <c r="DX42" i="41"/>
  <c r="BX44" i="41"/>
  <c r="CJ44" i="41" s="1"/>
  <c r="AN44" i="41"/>
  <c r="AB44" i="41"/>
  <c r="AZ44" i="41"/>
  <c r="W44" i="41"/>
  <c r="BS44" i="41"/>
  <c r="CE44" i="41" s="1"/>
  <c r="AI44" i="41"/>
  <c r="AU44" i="41"/>
  <c r="AJ44" i="41"/>
  <c r="BT44" i="41"/>
  <c r="CF44" i="41" s="1"/>
  <c r="X44" i="41"/>
  <c r="AV44" i="41"/>
  <c r="DO43" i="41"/>
  <c r="DC43" i="41"/>
  <c r="EA43" i="41" s="1"/>
  <c r="DI40" i="41"/>
  <c r="EG40" i="41" s="1"/>
  <c r="CW40" i="41"/>
  <c r="DU40" i="41" s="1"/>
  <c r="ED40" i="41"/>
  <c r="DL43" i="41"/>
  <c r="EJ43" i="41" s="1"/>
  <c r="CZ43" i="41"/>
  <c r="DX43" i="41" s="1"/>
  <c r="C46" i="20"/>
  <c r="O9" i="20"/>
  <c r="EI42" i="41"/>
  <c r="DF43" i="41"/>
  <c r="ED43" i="41" s="1"/>
  <c r="DR43" i="41"/>
  <c r="D49" i="20"/>
  <c r="D47" i="20" s="1"/>
  <c r="D51" i="20" s="1"/>
  <c r="D52" i="20" s="1"/>
  <c r="BP44" i="41"/>
  <c r="CB44" i="41" s="1"/>
  <c r="T44" i="41"/>
  <c r="AR44" i="41"/>
  <c r="AF44" i="41"/>
  <c r="DH41" i="41"/>
  <c r="EF41" i="41" s="1"/>
  <c r="DT41" i="41"/>
  <c r="ER41" i="41" s="1"/>
  <c r="E51" i="20"/>
  <c r="E52" i="20" s="1"/>
  <c r="DI43" i="41"/>
  <c r="EG43" i="41" s="1"/>
  <c r="CW43" i="41"/>
  <c r="DU43" i="41" s="1"/>
  <c r="N49" i="20"/>
  <c r="N47" i="20" s="1"/>
  <c r="J49" i="20"/>
  <c r="J47" i="20" s="1"/>
  <c r="DW43" i="41"/>
  <c r="M45" i="41"/>
  <c r="N45" i="41"/>
  <c r="F45" i="41"/>
  <c r="G45" i="41"/>
  <c r="L45" i="41"/>
  <c r="BB45" i="41"/>
  <c r="BL45" i="41"/>
  <c r="BJ45" i="41"/>
  <c r="BK45" i="41"/>
  <c r="BC45" i="41"/>
  <c r="H45" i="41"/>
  <c r="J45" i="41"/>
  <c r="BI45" i="41"/>
  <c r="BH45" i="41"/>
  <c r="BF45" i="41"/>
  <c r="E45" i="41"/>
  <c r="P45" i="41"/>
  <c r="BA45" i="41"/>
  <c r="BD45" i="41"/>
  <c r="O45" i="41"/>
  <c r="BE45" i="41"/>
  <c r="I45" i="41"/>
  <c r="BG45" i="41"/>
  <c r="K45" i="41"/>
  <c r="AG44" i="41"/>
  <c r="AS44" i="41"/>
  <c r="BQ44" i="41"/>
  <c r="CC44" i="41" s="1"/>
  <c r="U44" i="41"/>
  <c r="DG41" i="41"/>
  <c r="EE41" i="41" s="1"/>
  <c r="DS41" i="41"/>
  <c r="EQ41" i="41" s="1"/>
  <c r="M51" i="20"/>
  <c r="M52" i="20" s="1"/>
  <c r="EM42" i="41"/>
  <c r="L49" i="20"/>
  <c r="L47" i="20" s="1"/>
  <c r="I49" i="20"/>
  <c r="I47" i="20" s="1"/>
  <c r="I51" i="20" s="1"/>
  <c r="I52" i="20" s="1"/>
  <c r="G49" i="20"/>
  <c r="G47" i="20" s="1"/>
  <c r="G51" i="20" s="1"/>
  <c r="G52" i="20" s="1"/>
  <c r="DS43" i="41"/>
  <c r="EQ43" i="41" s="1"/>
  <c r="DG43" i="41"/>
  <c r="EE43" i="41" s="1"/>
  <c r="CR43" i="41"/>
  <c r="AC44" i="41"/>
  <c r="AO44" i="41"/>
  <c r="CK44" i="41" s="1"/>
  <c r="Q44" i="41"/>
  <c r="BM44" i="41"/>
  <c r="BY44" i="41" s="1"/>
  <c r="BN44" i="41"/>
  <c r="BZ44" i="41" s="1"/>
  <c r="R44" i="41"/>
  <c r="AP44" i="41"/>
  <c r="AD44" i="41"/>
  <c r="AK44" i="41"/>
  <c r="AW44" i="41"/>
  <c r="CS44" i="41" s="1"/>
  <c r="BU44" i="41"/>
  <c r="CG44" i="41" s="1"/>
  <c r="Y44" i="41"/>
  <c r="CQ43" i="41"/>
  <c r="DR41" i="41"/>
  <c r="EP41" i="41" s="1"/>
  <c r="DF41" i="41"/>
  <c r="ED41" i="41" s="1"/>
  <c r="EP40" i="41"/>
  <c r="J51" i="20"/>
  <c r="J52" i="20" s="1"/>
  <c r="F51" i="20"/>
  <c r="F52" i="20" s="1"/>
  <c r="DZ41" i="41"/>
  <c r="CS43" i="41"/>
  <c r="EC42" i="41"/>
  <c r="EL42" i="41"/>
  <c r="L21" i="20" l="1"/>
  <c r="L24" i="20" s="1"/>
  <c r="L26" i="20" s="1"/>
  <c r="L27" i="20" s="1"/>
  <c r="L31" i="20" s="1"/>
  <c r="L33" i="20" s="1"/>
  <c r="L35" i="20" s="1"/>
  <c r="L37" i="20" s="1"/>
  <c r="AB45" i="41"/>
  <c r="AZ45" i="41"/>
  <c r="CV45" i="41" s="1"/>
  <c r="BX45" i="41"/>
  <c r="CJ45" i="41" s="1"/>
  <c r="AN45" i="41"/>
  <c r="BU45" i="41"/>
  <c r="CG45" i="41" s="1"/>
  <c r="Y45" i="41"/>
  <c r="AK45" i="41"/>
  <c r="AW45" i="41"/>
  <c r="DD44" i="41"/>
  <c r="DP44" i="41"/>
  <c r="EN44" i="41" s="1"/>
  <c r="DO44" i="41"/>
  <c r="EM44" i="41" s="1"/>
  <c r="DC44" i="41"/>
  <c r="D42" i="36"/>
  <c r="O13" i="36"/>
  <c r="W13" i="36"/>
  <c r="R13" i="36"/>
  <c r="Q13" i="36"/>
  <c r="M13" i="36"/>
  <c r="T13" i="36"/>
  <c r="N13" i="36"/>
  <c r="V13" i="36"/>
  <c r="E24" i="41"/>
  <c r="P13" i="36"/>
  <c r="S13" i="36"/>
  <c r="F39" i="36"/>
  <c r="F42" i="36" s="1"/>
  <c r="X13" i="36"/>
  <c r="U13" i="36"/>
  <c r="DN44" i="41"/>
  <c r="EL44" i="41" s="1"/>
  <c r="DB44" i="41"/>
  <c r="DZ44" i="41" s="1"/>
  <c r="CX44" i="41"/>
  <c r="DV44" i="41" s="1"/>
  <c r="DJ44" i="41"/>
  <c r="EH44" i="41" s="1"/>
  <c r="W45" i="41"/>
  <c r="AU45" i="41"/>
  <c r="BS45" i="41"/>
  <c r="CE45" i="41" s="1"/>
  <c r="AI45" i="41"/>
  <c r="BM45" i="41"/>
  <c r="BY45" i="41" s="1"/>
  <c r="Q45" i="41"/>
  <c r="AO45" i="41"/>
  <c r="AC45" i="41"/>
  <c r="BR45" i="41"/>
  <c r="CD45" i="41" s="1"/>
  <c r="AT45" i="41"/>
  <c r="AH45" i="41"/>
  <c r="V45" i="41"/>
  <c r="AE45" i="41"/>
  <c r="BO45" i="41"/>
  <c r="CA45" i="41" s="1"/>
  <c r="S45" i="41"/>
  <c r="AQ45" i="41"/>
  <c r="CM45" i="41" s="1"/>
  <c r="C51" i="20"/>
  <c r="C52" i="20" s="1"/>
  <c r="C53" i="20" s="1"/>
  <c r="O46" i="20"/>
  <c r="EM43" i="41"/>
  <c r="DH44" i="41"/>
  <c r="DT44" i="41"/>
  <c r="CM44" i="41"/>
  <c r="F21" i="20"/>
  <c r="F24" i="20" s="1"/>
  <c r="F26" i="20" s="1"/>
  <c r="F27" i="20" s="1"/>
  <c r="F31" i="20" s="1"/>
  <c r="F33" i="20" s="1"/>
  <c r="F35" i="20" s="1"/>
  <c r="F37" i="20" s="1"/>
  <c r="F53" i="20"/>
  <c r="DI44" i="41"/>
  <c r="EG44" i="41" s="1"/>
  <c r="CW44" i="41"/>
  <c r="DU44" i="41" s="1"/>
  <c r="DM44" i="41"/>
  <c r="DA44" i="41"/>
  <c r="AR45" i="41"/>
  <c r="T45" i="41"/>
  <c r="BP45" i="41"/>
  <c r="CB45" i="41" s="1"/>
  <c r="AF45" i="41"/>
  <c r="AD45" i="41"/>
  <c r="R45" i="41"/>
  <c r="BN45" i="41"/>
  <c r="BZ45" i="41" s="1"/>
  <c r="AP45" i="41"/>
  <c r="J21" i="20"/>
  <c r="J24" i="20" s="1"/>
  <c r="J26" i="20" s="1"/>
  <c r="J27" i="20" s="1"/>
  <c r="J31" i="20" s="1"/>
  <c r="J33" i="20" s="1"/>
  <c r="J35" i="20" s="1"/>
  <c r="J37" i="20" s="1"/>
  <c r="J53" i="20"/>
  <c r="N21" i="20"/>
  <c r="N24" i="20" s="1"/>
  <c r="N26" i="20" s="1"/>
  <c r="N27" i="20" s="1"/>
  <c r="N31" i="20" s="1"/>
  <c r="N33" i="20" s="1"/>
  <c r="N35" i="20" s="1"/>
  <c r="N37" i="20" s="1"/>
  <c r="N53" i="20"/>
  <c r="CN44" i="41"/>
  <c r="CR44" i="41"/>
  <c r="CQ44" i="41"/>
  <c r="CV44" i="41"/>
  <c r="EB43" i="41"/>
  <c r="DG44" i="41"/>
  <c r="EE44" i="41" s="1"/>
  <c r="DS44" i="41"/>
  <c r="EQ44" i="41" s="1"/>
  <c r="DK44" i="41"/>
  <c r="EI44" i="41" s="1"/>
  <c r="CY44" i="41"/>
  <c r="DW44" i="41" s="1"/>
  <c r="E21" i="20"/>
  <c r="E24" i="20" s="1"/>
  <c r="E26" i="20" s="1"/>
  <c r="E27" i="20" s="1"/>
  <c r="E31" i="20" s="1"/>
  <c r="E33" i="20" s="1"/>
  <c r="E35" i="20" s="1"/>
  <c r="E37" i="20" s="1"/>
  <c r="E53" i="20"/>
  <c r="EC43" i="41"/>
  <c r="BT45" i="41"/>
  <c r="CF45" i="41" s="1"/>
  <c r="AV45" i="41"/>
  <c r="X45" i="41"/>
  <c r="AJ45" i="41"/>
  <c r="CZ44" i="41"/>
  <c r="DX44" i="41" s="1"/>
  <c r="DL44" i="41"/>
  <c r="K46" i="41"/>
  <c r="O46" i="41"/>
  <c r="N46" i="41"/>
  <c r="BL46" i="41"/>
  <c r="BD46" i="41"/>
  <c r="BE46" i="41"/>
  <c r="BK46" i="41"/>
  <c r="BG46" i="41"/>
  <c r="G46" i="41"/>
  <c r="E46" i="41"/>
  <c r="BB46" i="41"/>
  <c r="J46" i="41"/>
  <c r="L46" i="41"/>
  <c r="BH46" i="41"/>
  <c r="BF46" i="41"/>
  <c r="BJ46" i="41"/>
  <c r="F46" i="41"/>
  <c r="I46" i="41"/>
  <c r="BI46" i="41"/>
  <c r="M46" i="41"/>
  <c r="P46" i="41"/>
  <c r="BA46" i="41"/>
  <c r="H46" i="41"/>
  <c r="BC46" i="41"/>
  <c r="K21" i="20"/>
  <c r="K24" i="20" s="1"/>
  <c r="K26" i="20" s="1"/>
  <c r="K27" i="20" s="1"/>
  <c r="K31" i="20" s="1"/>
  <c r="K33" i="20" s="1"/>
  <c r="K35" i="20" s="1"/>
  <c r="K37" i="20" s="1"/>
  <c r="K53" i="20"/>
  <c r="DR44" i="41"/>
  <c r="EP44" i="41" s="1"/>
  <c r="DF44" i="41"/>
  <c r="ED44" i="41" s="1"/>
  <c r="I21" i="20"/>
  <c r="I24" i="20" s="1"/>
  <c r="I26" i="20" s="1"/>
  <c r="I27" i="20" s="1"/>
  <c r="I31" i="20" s="1"/>
  <c r="I33" i="20" s="1"/>
  <c r="I35" i="20" s="1"/>
  <c r="I37" i="20" s="1"/>
  <c r="I53" i="20"/>
  <c r="BW45" i="41"/>
  <c r="CI45" i="41" s="1"/>
  <c r="AM45" i="41"/>
  <c r="AA45" i="41"/>
  <c r="AY45" i="41"/>
  <c r="CU45" i="41" s="1"/>
  <c r="DQ44" i="41"/>
  <c r="EO44" i="41" s="1"/>
  <c r="DE44" i="41"/>
  <c r="EC44" i="41" s="1"/>
  <c r="CL44" i="41"/>
  <c r="G21" i="20"/>
  <c r="G24" i="20" s="1"/>
  <c r="G26" i="20" s="1"/>
  <c r="G27" i="20" s="1"/>
  <c r="G31" i="20" s="1"/>
  <c r="G33" i="20" s="1"/>
  <c r="G35" i="20" s="1"/>
  <c r="G37" i="20" s="1"/>
  <c r="G53" i="20"/>
  <c r="CO44" i="41"/>
  <c r="AS45" i="41"/>
  <c r="BQ45" i="41"/>
  <c r="CC45" i="41" s="1"/>
  <c r="AG45" i="41"/>
  <c r="U45" i="41"/>
  <c r="AL45" i="41"/>
  <c r="Z45" i="41"/>
  <c r="BV45" i="41"/>
  <c r="CH45" i="41" s="1"/>
  <c r="AX45" i="41"/>
  <c r="D21" i="20"/>
  <c r="D53" i="20"/>
  <c r="EP43" i="41"/>
  <c r="L51" i="20"/>
  <c r="L52" i="20" s="1"/>
  <c r="L53" i="20" s="1"/>
  <c r="C48" i="41"/>
  <c r="D47" i="41"/>
  <c r="C47" i="20"/>
  <c r="O47" i="20" s="1"/>
  <c r="O49" i="20"/>
  <c r="O25" i="20"/>
  <c r="C26" i="20"/>
  <c r="C27" i="20" s="1"/>
  <c r="C31" i="20" s="1"/>
  <c r="EO43" i="41"/>
  <c r="H21" i="20"/>
  <c r="H24" i="20" s="1"/>
  <c r="H26" i="20" s="1"/>
  <c r="H27" i="20" s="1"/>
  <c r="H31" i="20" s="1"/>
  <c r="H33" i="20" s="1"/>
  <c r="H35" i="20" s="1"/>
  <c r="H37" i="20" s="1"/>
  <c r="H53" i="20"/>
  <c r="M21" i="20"/>
  <c r="M24" i="20" s="1"/>
  <c r="M26" i="20" s="1"/>
  <c r="M27" i="20" s="1"/>
  <c r="M31" i="20" s="1"/>
  <c r="M33" i="20" s="1"/>
  <c r="M35" i="20" s="1"/>
  <c r="M37" i="20" s="1"/>
  <c r="M53" i="20"/>
  <c r="L62" i="20" l="1"/>
  <c r="L54" i="20"/>
  <c r="L56" i="20" s="1"/>
  <c r="L58" i="20" s="1"/>
  <c r="AR46" i="41"/>
  <c r="T46" i="41"/>
  <c r="AF46" i="41"/>
  <c r="BP46" i="41"/>
  <c r="CB46" i="41" s="1"/>
  <c r="J54" i="20"/>
  <c r="J56" i="20" s="1"/>
  <c r="J58" i="20" s="1"/>
  <c r="J62" i="20"/>
  <c r="DH45" i="41"/>
  <c r="EF45" i="41" s="1"/>
  <c r="DT45" i="41"/>
  <c r="ER45" i="41" s="1"/>
  <c r="H54" i="20"/>
  <c r="H56" i="20" s="1"/>
  <c r="H58" i="20" s="1"/>
  <c r="H62" i="20"/>
  <c r="D48" i="41"/>
  <c r="C49" i="41"/>
  <c r="DM45" i="41"/>
  <c r="EK45" i="41" s="1"/>
  <c r="DA45" i="41"/>
  <c r="I54" i="20"/>
  <c r="I56" i="20" s="1"/>
  <c r="I58" i="20" s="1"/>
  <c r="I62" i="20"/>
  <c r="K62" i="20"/>
  <c r="K54" i="20"/>
  <c r="K56" i="20" s="1"/>
  <c r="K58" i="20" s="1"/>
  <c r="AO46" i="41"/>
  <c r="AC46" i="41"/>
  <c r="BM46" i="41"/>
  <c r="BY46" i="41" s="1"/>
  <c r="Q46" i="41"/>
  <c r="CN45" i="41"/>
  <c r="CK45" i="41"/>
  <c r="F24" i="41"/>
  <c r="G24" i="41" s="1"/>
  <c r="H24" i="41" s="1"/>
  <c r="I24" i="41" s="1"/>
  <c r="J24" i="41" s="1"/>
  <c r="K24" i="41" s="1"/>
  <c r="L24" i="41" s="1"/>
  <c r="M24" i="41" s="1"/>
  <c r="N24" i="41" s="1"/>
  <c r="O24" i="41" s="1"/>
  <c r="P24" i="41" s="1"/>
  <c r="D24" i="20"/>
  <c r="O21" i="20"/>
  <c r="CO45" i="41"/>
  <c r="AZ46" i="41"/>
  <c r="AB46" i="41"/>
  <c r="AN46" i="41"/>
  <c r="BX46" i="41"/>
  <c r="CJ46" i="41" s="1"/>
  <c r="R46" i="41"/>
  <c r="AD46" i="41"/>
  <c r="BN46" i="41"/>
  <c r="BZ46" i="41" s="1"/>
  <c r="AP46" i="41"/>
  <c r="AV46" i="41"/>
  <c r="CR46" i="41" s="1"/>
  <c r="BT46" i="41"/>
  <c r="CF46" i="41" s="1"/>
  <c r="X46" i="41"/>
  <c r="AJ46" i="41"/>
  <c r="AQ46" i="41"/>
  <c r="S46" i="41"/>
  <c r="BO46" i="41"/>
  <c r="CA46" i="41" s="1"/>
  <c r="AE46" i="41"/>
  <c r="W46" i="41"/>
  <c r="BS46" i="41"/>
  <c r="CE46" i="41" s="1"/>
  <c r="AI46" i="41"/>
  <c r="AU46" i="41"/>
  <c r="E54" i="20"/>
  <c r="E56" i="20" s="1"/>
  <c r="E58" i="20" s="1"/>
  <c r="E62" i="20"/>
  <c r="N54" i="20"/>
  <c r="N56" i="20" s="1"/>
  <c r="N58" i="20" s="1"/>
  <c r="N62" i="20"/>
  <c r="CL45" i="41"/>
  <c r="DY44" i="41"/>
  <c r="ER44" i="41"/>
  <c r="CY45" i="41"/>
  <c r="DW45" i="41" s="1"/>
  <c r="DK45" i="41"/>
  <c r="EI45" i="41" s="1"/>
  <c r="CP45" i="41"/>
  <c r="CQ45" i="41"/>
  <c r="EB44" i="41"/>
  <c r="DE45" i="41"/>
  <c r="DQ45" i="41"/>
  <c r="C33" i="20"/>
  <c r="J47" i="41"/>
  <c r="K47" i="41"/>
  <c r="L47" i="41"/>
  <c r="BG47" i="41"/>
  <c r="BB47" i="41"/>
  <c r="O47" i="41"/>
  <c r="BD47" i="41"/>
  <c r="BA47" i="41"/>
  <c r="I47" i="41"/>
  <c r="P47" i="41"/>
  <c r="G47" i="41"/>
  <c r="F47" i="41"/>
  <c r="E47" i="41"/>
  <c r="H47" i="41"/>
  <c r="BK47" i="41"/>
  <c r="BL47" i="41"/>
  <c r="BF47" i="41"/>
  <c r="BE47" i="41"/>
  <c r="M47" i="41"/>
  <c r="N47" i="41"/>
  <c r="BC47" i="41"/>
  <c r="BH47" i="41"/>
  <c r="BJ47" i="41"/>
  <c r="BI47" i="41"/>
  <c r="DF45" i="41"/>
  <c r="ED45" i="41" s="1"/>
  <c r="DR45" i="41"/>
  <c r="G54" i="20"/>
  <c r="G56" i="20" s="1"/>
  <c r="G58" i="20" s="1"/>
  <c r="G62" i="20"/>
  <c r="DS45" i="41"/>
  <c r="EQ45" i="41" s="1"/>
  <c r="DG45" i="41"/>
  <c r="EE45" i="41" s="1"/>
  <c r="AX46" i="41"/>
  <c r="Z46" i="41"/>
  <c r="BV46" i="41"/>
  <c r="CH46" i="41" s="1"/>
  <c r="AL46" i="41"/>
  <c r="DP45" i="41"/>
  <c r="DD45" i="41"/>
  <c r="D54" i="20"/>
  <c r="D56" i="20" s="1"/>
  <c r="D58" i="20" s="1"/>
  <c r="BQ46" i="41"/>
  <c r="CC46" i="41" s="1"/>
  <c r="AG46" i="41"/>
  <c r="AS46" i="41"/>
  <c r="U46" i="41"/>
  <c r="AY46" i="41"/>
  <c r="CU46" i="41" s="1"/>
  <c r="AM46" i="41"/>
  <c r="BW46" i="41"/>
  <c r="CI46" i="41" s="1"/>
  <c r="AA46" i="41"/>
  <c r="DC45" i="41"/>
  <c r="EA45" i="41" s="1"/>
  <c r="DO45" i="41"/>
  <c r="EM45" i="41" s="1"/>
  <c r="M62" i="20"/>
  <c r="M54" i="20"/>
  <c r="M56" i="20" s="1"/>
  <c r="M58" i="20" s="1"/>
  <c r="CT45" i="41"/>
  <c r="Y46" i="41"/>
  <c r="AK46" i="41"/>
  <c r="BU46" i="41"/>
  <c r="CG46" i="41" s="1"/>
  <c r="AW46" i="41"/>
  <c r="AT46" i="41"/>
  <c r="BR46" i="41"/>
  <c r="CD46" i="41" s="1"/>
  <c r="V46" i="41"/>
  <c r="AH46" i="41"/>
  <c r="EJ44" i="41"/>
  <c r="CR45" i="41"/>
  <c r="CX45" i="41"/>
  <c r="DV45" i="41" s="1"/>
  <c r="DJ45" i="41"/>
  <c r="CZ45" i="41"/>
  <c r="DL45" i="41"/>
  <c r="EJ45" i="41" s="1"/>
  <c r="EK44" i="41"/>
  <c r="F62" i="20"/>
  <c r="F54" i="20"/>
  <c r="F56" i="20" s="1"/>
  <c r="F58" i="20" s="1"/>
  <c r="EF44" i="41"/>
  <c r="C54" i="20"/>
  <c r="O53" i="20"/>
  <c r="C62" i="20"/>
  <c r="DB45" i="41"/>
  <c r="DZ45" i="41" s="1"/>
  <c r="DN45" i="41"/>
  <c r="EL45" i="41" s="1"/>
  <c r="CW45" i="41"/>
  <c r="DI45" i="41"/>
  <c r="EA44" i="41"/>
  <c r="CS45" i="41"/>
  <c r="O54" i="20" l="1"/>
  <c r="C56" i="20"/>
  <c r="DQ46" i="41"/>
  <c r="DE46" i="41"/>
  <c r="DM46" i="41"/>
  <c r="DA46" i="41"/>
  <c r="DY46" i="41" s="1"/>
  <c r="DF46" i="41"/>
  <c r="DR46" i="41"/>
  <c r="AC47" i="41"/>
  <c r="AO47" i="41"/>
  <c r="CK47" i="41" s="1"/>
  <c r="Q47" i="41"/>
  <c r="BM47" i="41"/>
  <c r="BY47" i="41" s="1"/>
  <c r="AS47" i="41"/>
  <c r="U47" i="41"/>
  <c r="BQ47" i="41"/>
  <c r="CC47" i="41" s="1"/>
  <c r="AG47" i="41"/>
  <c r="AH47" i="41"/>
  <c r="V47" i="41"/>
  <c r="BR47" i="41"/>
  <c r="CD47" i="41" s="1"/>
  <c r="AT47" i="41"/>
  <c r="DO46" i="41"/>
  <c r="DC46" i="41"/>
  <c r="EA46" i="41" s="1"/>
  <c r="K63" i="20"/>
  <c r="K64" i="20"/>
  <c r="EB45" i="41"/>
  <c r="G64" i="20"/>
  <c r="G63" i="20"/>
  <c r="G65" i="20" s="1"/>
  <c r="G69" i="20" s="1"/>
  <c r="G70" i="20" s="1"/>
  <c r="BV47" i="41"/>
  <c r="CH47" i="41" s="1"/>
  <c r="AX47" i="41"/>
  <c r="AL47" i="41"/>
  <c r="Z47" i="41"/>
  <c r="BN47" i="41"/>
  <c r="BZ47" i="41" s="1"/>
  <c r="AP47" i="41"/>
  <c r="AD47" i="41"/>
  <c r="R47" i="41"/>
  <c r="I63" i="20"/>
  <c r="I65" i="20" s="1"/>
  <c r="I69" i="20" s="1"/>
  <c r="I70" i="20" s="1"/>
  <c r="I64" i="20"/>
  <c r="D49" i="41"/>
  <c r="C50" i="41"/>
  <c r="CN46" i="41"/>
  <c r="EG45" i="41"/>
  <c r="C63" i="20"/>
  <c r="C64" i="20"/>
  <c r="DX45" i="41"/>
  <c r="CP46" i="41"/>
  <c r="M64" i="20"/>
  <c r="M63" i="20"/>
  <c r="M65" i="20" s="1"/>
  <c r="M69" i="20" s="1"/>
  <c r="M70" i="20" s="1"/>
  <c r="DS46" i="41"/>
  <c r="EQ46" i="41" s="1"/>
  <c r="DG46" i="41"/>
  <c r="EE46" i="41" s="1"/>
  <c r="CO46" i="41"/>
  <c r="EN45" i="41"/>
  <c r="CT46" i="41"/>
  <c r="AW47" i="41"/>
  <c r="BU47" i="41"/>
  <c r="CG47" i="41" s="1"/>
  <c r="AK47" i="41"/>
  <c r="Y47" i="41"/>
  <c r="AE47" i="41"/>
  <c r="S47" i="41"/>
  <c r="BO47" i="41"/>
  <c r="CA47" i="41" s="1"/>
  <c r="AQ47" i="41"/>
  <c r="X47" i="41"/>
  <c r="BT47" i="41"/>
  <c r="CF47" i="41" s="1"/>
  <c r="AJ47" i="41"/>
  <c r="AV47" i="41"/>
  <c r="CQ46" i="41"/>
  <c r="CL46" i="41"/>
  <c r="DT46" i="41"/>
  <c r="DH46" i="41"/>
  <c r="Q24" i="41"/>
  <c r="CK46" i="41"/>
  <c r="H48" i="41"/>
  <c r="J48" i="41"/>
  <c r="BL48" i="41"/>
  <c r="K48" i="41"/>
  <c r="F48" i="41"/>
  <c r="M48" i="41"/>
  <c r="L48" i="41"/>
  <c r="BC48" i="41"/>
  <c r="I48" i="41"/>
  <c r="O48" i="41"/>
  <c r="BI48" i="41"/>
  <c r="BA48" i="41"/>
  <c r="BD48" i="41"/>
  <c r="BH48" i="41"/>
  <c r="BK48" i="41"/>
  <c r="E48" i="41"/>
  <c r="N48" i="41"/>
  <c r="BE48" i="41"/>
  <c r="BG48" i="41"/>
  <c r="BF48" i="41"/>
  <c r="P48" i="41"/>
  <c r="BB48" i="41"/>
  <c r="BJ48" i="41"/>
  <c r="G48" i="41"/>
  <c r="DL46" i="41"/>
  <c r="CZ46" i="41"/>
  <c r="L64" i="20"/>
  <c r="L63" i="20"/>
  <c r="L65" i="20" s="1"/>
  <c r="L69" i="20" s="1"/>
  <c r="L70" i="20" s="1"/>
  <c r="EC45" i="41"/>
  <c r="E64" i="20"/>
  <c r="E63" i="20"/>
  <c r="E65" i="20" s="1"/>
  <c r="E69" i="20" s="1"/>
  <c r="E70" i="20" s="1"/>
  <c r="DD46" i="41"/>
  <c r="EB46" i="41" s="1"/>
  <c r="DP46" i="41"/>
  <c r="EN46" i="41" s="1"/>
  <c r="D26" i="20"/>
  <c r="D27" i="20" s="1"/>
  <c r="D31" i="20" s="1"/>
  <c r="O24" i="20"/>
  <c r="DI46" i="41"/>
  <c r="CW46" i="41"/>
  <c r="DU46" i="41" s="1"/>
  <c r="DN46" i="41"/>
  <c r="EL46" i="41" s="1"/>
  <c r="DB46" i="41"/>
  <c r="DZ46" i="41" s="1"/>
  <c r="C35" i="20"/>
  <c r="N63" i="20"/>
  <c r="N64" i="20"/>
  <c r="CM46" i="41"/>
  <c r="CV46" i="41"/>
  <c r="DU45" i="41"/>
  <c r="F64" i="20"/>
  <c r="F63" i="20"/>
  <c r="F65" i="20" s="1"/>
  <c r="F69" i="20" s="1"/>
  <c r="F70" i="20" s="1"/>
  <c r="EH45" i="41"/>
  <c r="CS46" i="41"/>
  <c r="EP45" i="41"/>
  <c r="BP47" i="41"/>
  <c r="CB47" i="41" s="1"/>
  <c r="AR47" i="41"/>
  <c r="CN47" i="41" s="1"/>
  <c r="T47" i="41"/>
  <c r="AF47" i="41"/>
  <c r="AZ47" i="41"/>
  <c r="AN47" i="41"/>
  <c r="AB47" i="41"/>
  <c r="BX47" i="41"/>
  <c r="CJ47" i="41" s="1"/>
  <c r="AA47" i="41"/>
  <c r="BW47" i="41"/>
  <c r="CI47" i="41" s="1"/>
  <c r="AY47" i="41"/>
  <c r="AM47" i="41"/>
  <c r="W47" i="41"/>
  <c r="AI47" i="41"/>
  <c r="BS47" i="41"/>
  <c r="CE47" i="41" s="1"/>
  <c r="AU47" i="41"/>
  <c r="EO45" i="41"/>
  <c r="DK46" i="41"/>
  <c r="CY46" i="41"/>
  <c r="CX46" i="41"/>
  <c r="DJ46" i="41"/>
  <c r="EH46" i="41" s="1"/>
  <c r="DY45" i="41"/>
  <c r="H64" i="20"/>
  <c r="H63" i="20"/>
  <c r="H65" i="20" s="1"/>
  <c r="H69" i="20" s="1"/>
  <c r="H70" i="20" s="1"/>
  <c r="J64" i="20"/>
  <c r="J63" i="20"/>
  <c r="DS47" i="41" l="1"/>
  <c r="DG47" i="41"/>
  <c r="AQ48" i="41"/>
  <c r="BO48" i="41"/>
  <c r="CA48" i="41" s="1"/>
  <c r="S48" i="41"/>
  <c r="AE48" i="41"/>
  <c r="BM48" i="41"/>
  <c r="BY48" i="41" s="1"/>
  <c r="AC48" i="41"/>
  <c r="Q48" i="41"/>
  <c r="AO48" i="41"/>
  <c r="CK48" i="41" s="1"/>
  <c r="DK47" i="41"/>
  <c r="CY47" i="41"/>
  <c r="CX47" i="41"/>
  <c r="DJ47" i="41"/>
  <c r="DL47" i="41"/>
  <c r="EJ47" i="41" s="1"/>
  <c r="CZ47" i="41"/>
  <c r="DX47" i="41" s="1"/>
  <c r="AJ48" i="41"/>
  <c r="BT48" i="41"/>
  <c r="CF48" i="41" s="1"/>
  <c r="X48" i="41"/>
  <c r="AV48" i="41"/>
  <c r="DE47" i="41"/>
  <c r="DQ47" i="41"/>
  <c r="EO47" i="41" s="1"/>
  <c r="CO47" i="41"/>
  <c r="EK46" i="41"/>
  <c r="DX46" i="41"/>
  <c r="AY48" i="41"/>
  <c r="BW48" i="41"/>
  <c r="CI48" i="41" s="1"/>
  <c r="AA48" i="41"/>
  <c r="AM48" i="41"/>
  <c r="AW48" i="41"/>
  <c r="AK48" i="41"/>
  <c r="BU48" i="41"/>
  <c r="CG48" i="41" s="1"/>
  <c r="Y48" i="41"/>
  <c r="AH48" i="41"/>
  <c r="V48" i="41"/>
  <c r="AT48" i="41"/>
  <c r="CP48" i="41" s="1"/>
  <c r="BR48" i="41"/>
  <c r="CD48" i="41" s="1"/>
  <c r="EF46" i="41"/>
  <c r="CS47" i="41"/>
  <c r="C65" i="20"/>
  <c r="N49" i="41"/>
  <c r="M49" i="41"/>
  <c r="H49" i="41"/>
  <c r="E49" i="41"/>
  <c r="P49" i="41"/>
  <c r="F49" i="41"/>
  <c r="K49" i="41"/>
  <c r="BE49" i="41"/>
  <c r="BH49" i="41"/>
  <c r="BD49" i="41"/>
  <c r="BL49" i="41"/>
  <c r="L49" i="41"/>
  <c r="G49" i="41"/>
  <c r="BB49" i="41"/>
  <c r="BG49" i="41"/>
  <c r="BK49" i="41"/>
  <c r="O49" i="41"/>
  <c r="BC49" i="41"/>
  <c r="BJ49" i="41"/>
  <c r="BA49" i="41"/>
  <c r="I49" i="41"/>
  <c r="BF49" i="41"/>
  <c r="BI49" i="41"/>
  <c r="J49" i="41"/>
  <c r="CP47" i="41"/>
  <c r="DI47" i="41"/>
  <c r="EG47" i="41" s="1"/>
  <c r="CW47" i="41"/>
  <c r="DU47" i="41" s="1"/>
  <c r="EP46" i="41"/>
  <c r="EC46" i="41"/>
  <c r="AI48" i="41"/>
  <c r="AU48" i="41"/>
  <c r="W48" i="41"/>
  <c r="BS48" i="41"/>
  <c r="CE48" i="41" s="1"/>
  <c r="DF47" i="41"/>
  <c r="DR47" i="41"/>
  <c r="C58" i="20"/>
  <c r="O58" i="20" s="1"/>
  <c r="O56" i="20"/>
  <c r="DV46" i="41"/>
  <c r="CV47" i="41"/>
  <c r="C37" i="20"/>
  <c r="EG46" i="41"/>
  <c r="DD47" i="41"/>
  <c r="DP47" i="41"/>
  <c r="C51" i="41"/>
  <c r="D50" i="41"/>
  <c r="EM46" i="41"/>
  <c r="DW46" i="41"/>
  <c r="CQ47" i="41"/>
  <c r="DT47" i="41"/>
  <c r="DH47" i="41"/>
  <c r="EF47" i="41" s="1"/>
  <c r="J65" i="20"/>
  <c r="J69" i="20" s="1"/>
  <c r="J70" i="20" s="1"/>
  <c r="EI46" i="41"/>
  <c r="DO47" i="41"/>
  <c r="EM47" i="41" s="1"/>
  <c r="DC47" i="41"/>
  <c r="EA47" i="41" s="1"/>
  <c r="CU47" i="41"/>
  <c r="N65" i="20"/>
  <c r="N69" i="20" s="1"/>
  <c r="N70" i="20" s="1"/>
  <c r="D33" i="20"/>
  <c r="O31" i="20"/>
  <c r="D62" i="20"/>
  <c r="EJ46" i="41"/>
  <c r="AB48" i="41"/>
  <c r="AZ48" i="41"/>
  <c r="CV48" i="41" s="1"/>
  <c r="AN48" i="41"/>
  <c r="BX48" i="41"/>
  <c r="CJ48" i="41" s="1"/>
  <c r="BV48" i="41"/>
  <c r="CH48" i="41" s="1"/>
  <c r="Z48" i="41"/>
  <c r="AX48" i="41"/>
  <c r="AL48" i="41"/>
  <c r="AG48" i="41"/>
  <c r="U48" i="41"/>
  <c r="AS48" i="41"/>
  <c r="BQ48" i="41"/>
  <c r="CC48" i="41" s="1"/>
  <c r="BN48" i="41"/>
  <c r="BZ48" i="41" s="1"/>
  <c r="R48" i="41"/>
  <c r="AP48" i="41"/>
  <c r="AD48" i="41"/>
  <c r="BP48" i="41"/>
  <c r="CB48" i="41" s="1"/>
  <c r="T48" i="41"/>
  <c r="AF48" i="41"/>
  <c r="AR48" i="41"/>
  <c r="ER46" i="41"/>
  <c r="CR47" i="41"/>
  <c r="CM47" i="41"/>
  <c r="CL47" i="41"/>
  <c r="CT47" i="41"/>
  <c r="K65" i="20"/>
  <c r="K69" i="20" s="1"/>
  <c r="K70" i="20" s="1"/>
  <c r="DB47" i="41"/>
  <c r="DZ47" i="41" s="1"/>
  <c r="DN47" i="41"/>
  <c r="EL47" i="41" s="1"/>
  <c r="DA47" i="41"/>
  <c r="DY47" i="41" s="1"/>
  <c r="DM47" i="41"/>
  <c r="EK47" i="41" s="1"/>
  <c r="ED46" i="41"/>
  <c r="EO46" i="41"/>
  <c r="EN47" i="41" l="1"/>
  <c r="BR49" i="41"/>
  <c r="CD49" i="41" s="1"/>
  <c r="AT49" i="41"/>
  <c r="CP49" i="41" s="1"/>
  <c r="AH49" i="41"/>
  <c r="V49" i="41"/>
  <c r="BT49" i="41"/>
  <c r="CF49" i="41" s="1"/>
  <c r="AJ49" i="41"/>
  <c r="X49" i="41"/>
  <c r="AV49" i="41"/>
  <c r="AC49" i="41"/>
  <c r="BM49" i="41"/>
  <c r="BY49" i="41" s="1"/>
  <c r="Q49" i="41"/>
  <c r="AO49" i="41"/>
  <c r="C69" i="20"/>
  <c r="DB48" i="41"/>
  <c r="DZ48" i="41" s="1"/>
  <c r="DN48" i="41"/>
  <c r="EL48" i="41" s="1"/>
  <c r="DL48" i="41"/>
  <c r="EJ48" i="41" s="1"/>
  <c r="CZ48" i="41"/>
  <c r="DX48" i="41" s="1"/>
  <c r="CX48" i="41"/>
  <c r="DJ48" i="41"/>
  <c r="EH48" i="41" s="1"/>
  <c r="DF48" i="41"/>
  <c r="ED48" i="41" s="1"/>
  <c r="DR48" i="41"/>
  <c r="CQ48" i="41"/>
  <c r="AR49" i="41"/>
  <c r="AF49" i="41"/>
  <c r="T49" i="41"/>
  <c r="BP49" i="41"/>
  <c r="CB49" i="41" s="1"/>
  <c r="DQ48" i="41"/>
  <c r="EO48" i="41" s="1"/>
  <c r="DE48" i="41"/>
  <c r="EC48" i="41" s="1"/>
  <c r="EE47" i="41"/>
  <c r="CN48" i="41"/>
  <c r="DM48" i="41"/>
  <c r="EK48" i="41" s="1"/>
  <c r="DA48" i="41"/>
  <c r="DY48" i="41" s="1"/>
  <c r="DH48" i="41"/>
  <c r="EF48" i="41" s="1"/>
  <c r="DT48" i="41"/>
  <c r="ER48" i="41" s="1"/>
  <c r="ER47" i="41"/>
  <c r="I50" i="41"/>
  <c r="K50" i="41"/>
  <c r="M50" i="41"/>
  <c r="BA50" i="41"/>
  <c r="BJ50" i="41"/>
  <c r="BD50" i="41"/>
  <c r="H50" i="41"/>
  <c r="P50" i="41"/>
  <c r="J50" i="41"/>
  <c r="N50" i="41"/>
  <c r="E50" i="41"/>
  <c r="BG50" i="41"/>
  <c r="L50" i="41"/>
  <c r="O50" i="41"/>
  <c r="F50" i="41"/>
  <c r="BH50" i="41"/>
  <c r="BB50" i="41"/>
  <c r="G50" i="41"/>
  <c r="BF50" i="41"/>
  <c r="BE50" i="41"/>
  <c r="BL50" i="41"/>
  <c r="BK50" i="41"/>
  <c r="BI50" i="41"/>
  <c r="BC50" i="41"/>
  <c r="ED47" i="41"/>
  <c r="AD49" i="41"/>
  <c r="R49" i="41"/>
  <c r="BN49" i="41"/>
  <c r="BZ49" i="41" s="1"/>
  <c r="AP49" i="41"/>
  <c r="CL49" i="41" s="1"/>
  <c r="BU49" i="41"/>
  <c r="CG49" i="41" s="1"/>
  <c r="Y49" i="41"/>
  <c r="AW49" i="41"/>
  <c r="AK49" i="41"/>
  <c r="DS48" i="41"/>
  <c r="DG48" i="41"/>
  <c r="EC47" i="41"/>
  <c r="EH47" i="41"/>
  <c r="DW47" i="41"/>
  <c r="DK48" i="41"/>
  <c r="CY48" i="41"/>
  <c r="DW48" i="41" s="1"/>
  <c r="EQ47" i="41"/>
  <c r="D35" i="20"/>
  <c r="O33" i="20"/>
  <c r="EB47" i="41"/>
  <c r="EP47" i="41"/>
  <c r="AI49" i="41"/>
  <c r="AU49" i="41"/>
  <c r="W49" i="41"/>
  <c r="BS49" i="41"/>
  <c r="CE49" i="41" s="1"/>
  <c r="DD48" i="41"/>
  <c r="DP48" i="41"/>
  <c r="CL48" i="41"/>
  <c r="CO48" i="41"/>
  <c r="CT48" i="41"/>
  <c r="D64" i="20"/>
  <c r="O64" i="20" s="1"/>
  <c r="D63" i="20"/>
  <c r="C52" i="41"/>
  <c r="D51" i="41"/>
  <c r="DO48" i="41"/>
  <c r="EM48" i="41" s="1"/>
  <c r="DC48" i="41"/>
  <c r="EA48" i="41" s="1"/>
  <c r="BQ49" i="41"/>
  <c r="CC49" i="41" s="1"/>
  <c r="AS49" i="41"/>
  <c r="U49" i="41"/>
  <c r="AG49" i="41"/>
  <c r="AA49" i="41"/>
  <c r="AY49" i="41"/>
  <c r="CU49" i="41" s="1"/>
  <c r="BW49" i="41"/>
  <c r="CI49" i="41" s="1"/>
  <c r="AM49" i="41"/>
  <c r="AE49" i="41"/>
  <c r="BO49" i="41"/>
  <c r="CA49" i="41" s="1"/>
  <c r="S49" i="41"/>
  <c r="AQ49" i="41"/>
  <c r="AB49" i="41"/>
  <c r="BX49" i="41"/>
  <c r="CJ49" i="41" s="1"/>
  <c r="AZ49" i="41"/>
  <c r="CV49" i="41" s="1"/>
  <c r="AN49" i="41"/>
  <c r="AL49" i="41"/>
  <c r="Z49" i="41"/>
  <c r="BV49" i="41"/>
  <c r="CH49" i="41" s="1"/>
  <c r="AX49" i="41"/>
  <c r="CS48" i="41"/>
  <c r="CU48" i="41"/>
  <c r="CR48" i="41"/>
  <c r="DV47" i="41"/>
  <c r="EI47" i="41"/>
  <c r="DI48" i="41"/>
  <c r="EG48" i="41" s="1"/>
  <c r="CW48" i="41"/>
  <c r="DU48" i="41" s="1"/>
  <c r="CM48" i="41"/>
  <c r="DG49" i="41" l="1"/>
  <c r="EE49" i="41" s="1"/>
  <c r="DS49" i="41"/>
  <c r="EQ49" i="41" s="1"/>
  <c r="AV50" i="41"/>
  <c r="CR50" i="41" s="1"/>
  <c r="BT50" i="41"/>
  <c r="CF50" i="41" s="1"/>
  <c r="X50" i="41"/>
  <c r="AJ50" i="41"/>
  <c r="AH50" i="41"/>
  <c r="BR50" i="41"/>
  <c r="CD50" i="41" s="1"/>
  <c r="AT50" i="41"/>
  <c r="V50" i="41"/>
  <c r="AS50" i="41"/>
  <c r="U50" i="41"/>
  <c r="BQ50" i="41"/>
  <c r="CC50" i="41" s="1"/>
  <c r="AG50" i="41"/>
  <c r="CW49" i="41"/>
  <c r="DI49" i="41"/>
  <c r="DH49" i="41"/>
  <c r="EF49" i="41" s="1"/>
  <c r="DT49" i="41"/>
  <c r="ER49" i="41" s="1"/>
  <c r="DK49" i="41"/>
  <c r="CY49" i="41"/>
  <c r="DW49" i="41" s="1"/>
  <c r="CO49" i="41"/>
  <c r="K51" i="41"/>
  <c r="L51" i="41"/>
  <c r="F51" i="41"/>
  <c r="H51" i="41"/>
  <c r="N51" i="41"/>
  <c r="J51" i="41"/>
  <c r="BD51" i="41"/>
  <c r="BI51" i="41"/>
  <c r="BG51" i="41"/>
  <c r="BB51" i="41"/>
  <c r="E51" i="41"/>
  <c r="M51" i="41"/>
  <c r="BC51" i="41"/>
  <c r="BF51" i="41"/>
  <c r="BJ51" i="41"/>
  <c r="O51" i="41"/>
  <c r="BE51" i="41"/>
  <c r="BA51" i="41"/>
  <c r="BH51" i="41"/>
  <c r="I51" i="41"/>
  <c r="G51" i="41"/>
  <c r="BK51" i="41"/>
  <c r="BL51" i="41"/>
  <c r="P51" i="41"/>
  <c r="CQ49" i="41"/>
  <c r="CS49" i="41"/>
  <c r="CX49" i="41"/>
  <c r="DV49" i="41" s="1"/>
  <c r="DJ49" i="41"/>
  <c r="EH49" i="41" s="1"/>
  <c r="AB50" i="41"/>
  <c r="BX50" i="41"/>
  <c r="CJ50" i="41" s="1"/>
  <c r="AN50" i="41"/>
  <c r="AZ50" i="41"/>
  <c r="C70" i="20"/>
  <c r="DP49" i="41"/>
  <c r="EN49" i="41" s="1"/>
  <c r="DD49" i="41"/>
  <c r="DB49" i="41"/>
  <c r="DZ49" i="41" s="1"/>
  <c r="DN49" i="41"/>
  <c r="EL49" i="41" s="1"/>
  <c r="DM49" i="41"/>
  <c r="EK49" i="41" s="1"/>
  <c r="DA49" i="41"/>
  <c r="DY49" i="41" s="1"/>
  <c r="C53" i="41"/>
  <c r="D52" i="41"/>
  <c r="EB48" i="41"/>
  <c r="D37" i="20"/>
  <c r="O37" i="20" s="1"/>
  <c r="O35" i="20"/>
  <c r="EI48" i="41"/>
  <c r="EE48" i="41"/>
  <c r="AD50" i="41"/>
  <c r="AP50" i="41"/>
  <c r="BN50" i="41"/>
  <c r="BZ50" i="41" s="1"/>
  <c r="R50" i="41"/>
  <c r="AO50" i="41"/>
  <c r="Q50" i="41"/>
  <c r="BM50" i="41"/>
  <c r="BY50" i="41" s="1"/>
  <c r="AC50" i="41"/>
  <c r="T50" i="41"/>
  <c r="BP50" i="41"/>
  <c r="CB50" i="41" s="1"/>
  <c r="AF50" i="41"/>
  <c r="AR50" i="41"/>
  <c r="CN50" i="41" s="1"/>
  <c r="AW50" i="41"/>
  <c r="Y50" i="41"/>
  <c r="BU50" i="41"/>
  <c r="CG50" i="41" s="1"/>
  <c r="AK50" i="41"/>
  <c r="CZ49" i="41"/>
  <c r="DL49" i="41"/>
  <c r="DV48" i="41"/>
  <c r="CK49" i="41"/>
  <c r="CR49" i="41"/>
  <c r="DF49" i="41"/>
  <c r="DR49" i="41"/>
  <c r="EP49" i="41" s="1"/>
  <c r="EN48" i="41"/>
  <c r="CN49" i="41"/>
  <c r="CT49" i="41"/>
  <c r="CM49" i="41"/>
  <c r="D65" i="20"/>
  <c r="O63" i="20"/>
  <c r="DO49" i="41"/>
  <c r="EM49" i="41" s="1"/>
  <c r="DC49" i="41"/>
  <c r="EA49" i="41" s="1"/>
  <c r="EQ48" i="41"/>
  <c r="DE49" i="41"/>
  <c r="DQ49" i="41"/>
  <c r="S50" i="41"/>
  <c r="BO50" i="41"/>
  <c r="CA50" i="41" s="1"/>
  <c r="AQ50" i="41"/>
  <c r="AE50" i="41"/>
  <c r="AY50" i="41"/>
  <c r="AA50" i="41"/>
  <c r="BW50" i="41"/>
  <c r="CI50" i="41" s="1"/>
  <c r="AM50" i="41"/>
  <c r="AL50" i="41"/>
  <c r="BV50" i="41"/>
  <c r="CH50" i="41" s="1"/>
  <c r="Z50" i="41"/>
  <c r="AX50" i="41"/>
  <c r="AU50" i="41"/>
  <c r="CQ50" i="41" s="1"/>
  <c r="BS50" i="41"/>
  <c r="CE50" i="41" s="1"/>
  <c r="W50" i="41"/>
  <c r="AI50" i="41"/>
  <c r="EP48" i="41"/>
  <c r="DF50" i="41" l="1"/>
  <c r="DR50" i="41"/>
  <c r="CY50" i="41"/>
  <c r="DW50" i="41" s="1"/>
  <c r="DK50" i="41"/>
  <c r="EI50" i="41" s="1"/>
  <c r="AO51" i="41"/>
  <c r="BM51" i="41"/>
  <c r="BY51" i="41" s="1"/>
  <c r="Q51" i="41"/>
  <c r="AC51" i="41"/>
  <c r="BN51" i="41"/>
  <c r="BZ51" i="41" s="1"/>
  <c r="R51" i="41"/>
  <c r="AD51" i="41"/>
  <c r="AP51" i="41"/>
  <c r="CL51" i="41" s="1"/>
  <c r="DP50" i="41"/>
  <c r="EN50" i="41" s="1"/>
  <c r="DD50" i="41"/>
  <c r="EB50" i="41" s="1"/>
  <c r="CU50" i="41"/>
  <c r="DJ50" i="41"/>
  <c r="EH50" i="41" s="1"/>
  <c r="CX50" i="41"/>
  <c r="DT50" i="41"/>
  <c r="DH50" i="41"/>
  <c r="BR51" i="41"/>
  <c r="CD51" i="41" s="1"/>
  <c r="V51" i="41"/>
  <c r="AH51" i="41"/>
  <c r="AT51" i="41"/>
  <c r="CP51" i="41" s="1"/>
  <c r="EO49" i="41"/>
  <c r="ED49" i="41"/>
  <c r="EJ49" i="41"/>
  <c r="DL50" i="41"/>
  <c r="EJ50" i="41" s="1"/>
  <c r="CZ50" i="41"/>
  <c r="DX50" i="41" s="1"/>
  <c r="CL50" i="41"/>
  <c r="D53" i="41"/>
  <c r="C54" i="41"/>
  <c r="S51" i="41"/>
  <c r="AE51" i="41"/>
  <c r="AQ51" i="41"/>
  <c r="CM51" i="41" s="1"/>
  <c r="BO51" i="41"/>
  <c r="CA51" i="41" s="1"/>
  <c r="BV51" i="41"/>
  <c r="CH51" i="41" s="1"/>
  <c r="AX51" i="41"/>
  <c r="AL51" i="41"/>
  <c r="Z51" i="41"/>
  <c r="W51" i="41"/>
  <c r="BS51" i="41"/>
  <c r="CE51" i="41" s="1"/>
  <c r="AI51" i="41"/>
  <c r="AU51" i="41"/>
  <c r="CQ51" i="41" s="1"/>
  <c r="DO50" i="41"/>
  <c r="EM50" i="41" s="1"/>
  <c r="DC50" i="41"/>
  <c r="EA50" i="41" s="1"/>
  <c r="D69" i="20"/>
  <c r="O65" i="20"/>
  <c r="EG49" i="41"/>
  <c r="DN50" i="41"/>
  <c r="DB50" i="41"/>
  <c r="DQ50" i="41"/>
  <c r="EO50" i="41" s="1"/>
  <c r="DE50" i="41"/>
  <c r="DI50" i="41"/>
  <c r="CW50" i="41"/>
  <c r="DU50" i="41" s="1"/>
  <c r="M52" i="41"/>
  <c r="H52" i="41"/>
  <c r="O52" i="41"/>
  <c r="BA52" i="41"/>
  <c r="BC52" i="41"/>
  <c r="BD52" i="41"/>
  <c r="BE52" i="41"/>
  <c r="BF52" i="41"/>
  <c r="I52" i="41"/>
  <c r="P52" i="41"/>
  <c r="J52" i="41"/>
  <c r="E52" i="41"/>
  <c r="K52" i="41"/>
  <c r="BJ52" i="41"/>
  <c r="BG52" i="41"/>
  <c r="F52" i="41"/>
  <c r="N52" i="41"/>
  <c r="BL52" i="41"/>
  <c r="BK52" i="41"/>
  <c r="BH52" i="41"/>
  <c r="BB52" i="41"/>
  <c r="BI52" i="41"/>
  <c r="L52" i="41"/>
  <c r="G52" i="41"/>
  <c r="AJ51" i="41"/>
  <c r="BT51" i="41"/>
  <c r="CF51" i="41" s="1"/>
  <c r="AV51" i="41"/>
  <c r="X51" i="41"/>
  <c r="EI49" i="41"/>
  <c r="DU49" i="41"/>
  <c r="CO50" i="41"/>
  <c r="CT50" i="41"/>
  <c r="DS50" i="41"/>
  <c r="EQ50" i="41" s="1"/>
  <c r="DG50" i="41"/>
  <c r="CM50" i="41"/>
  <c r="EC49" i="41"/>
  <c r="DX49" i="41"/>
  <c r="CS50" i="41"/>
  <c r="CK50" i="41"/>
  <c r="EB49" i="41"/>
  <c r="CV50" i="41"/>
  <c r="AZ51" i="41"/>
  <c r="AN51" i="41"/>
  <c r="BX51" i="41"/>
  <c r="CJ51" i="41" s="1"/>
  <c r="AB51" i="41"/>
  <c r="BQ51" i="41"/>
  <c r="CC51" i="41" s="1"/>
  <c r="U51" i="41"/>
  <c r="AG51" i="41"/>
  <c r="AS51" i="41"/>
  <c r="CO51" i="41" s="1"/>
  <c r="AM51" i="41"/>
  <c r="AA51" i="41"/>
  <c r="BW51" i="41"/>
  <c r="CI51" i="41" s="1"/>
  <c r="AY51" i="41"/>
  <c r="CU51" i="41" s="1"/>
  <c r="BU51" i="41"/>
  <c r="CG51" i="41" s="1"/>
  <c r="AW51" i="41"/>
  <c r="Y51" i="41"/>
  <c r="AK51" i="41"/>
  <c r="AF51" i="41"/>
  <c r="T51" i="41"/>
  <c r="BP51" i="41"/>
  <c r="CB51" i="41" s="1"/>
  <c r="AR51" i="41"/>
  <c r="CN51" i="41" s="1"/>
  <c r="DM50" i="41"/>
  <c r="EK50" i="41" s="1"/>
  <c r="DA50" i="41"/>
  <c r="DY50" i="41" s="1"/>
  <c r="CP50" i="41"/>
  <c r="AU52" i="41" l="1"/>
  <c r="AI52" i="41"/>
  <c r="W52" i="41"/>
  <c r="BS52" i="41"/>
  <c r="CE52" i="41" s="1"/>
  <c r="AG52" i="41"/>
  <c r="AS52" i="41"/>
  <c r="BQ52" i="41"/>
  <c r="CC52" i="41" s="1"/>
  <c r="U52" i="41"/>
  <c r="AW52" i="41"/>
  <c r="BU52" i="41"/>
  <c r="CG52" i="41" s="1"/>
  <c r="AK52" i="41"/>
  <c r="Y52" i="41"/>
  <c r="DL51" i="41"/>
  <c r="EJ51" i="41" s="1"/>
  <c r="CZ51" i="41"/>
  <c r="DX51" i="41" s="1"/>
  <c r="DG51" i="41"/>
  <c r="EE51" i="41" s="1"/>
  <c r="DS51" i="41"/>
  <c r="EQ51" i="41" s="1"/>
  <c r="DH51" i="41"/>
  <c r="DT51" i="41"/>
  <c r="BO52" i="41"/>
  <c r="CA52" i="41" s="1"/>
  <c r="AQ52" i="41"/>
  <c r="CM52" i="41" s="1"/>
  <c r="S52" i="41"/>
  <c r="AE52" i="41"/>
  <c r="AD52" i="41"/>
  <c r="BN52" i="41"/>
  <c r="BZ52" i="41" s="1"/>
  <c r="AP52" i="41"/>
  <c r="R52" i="41"/>
  <c r="DZ50" i="41"/>
  <c r="D70" i="20"/>
  <c r="O70" i="20" s="1"/>
  <c r="O69" i="20"/>
  <c r="CS51" i="41"/>
  <c r="CR51" i="41"/>
  <c r="AV52" i="41"/>
  <c r="CR52" i="41" s="1"/>
  <c r="AJ52" i="41"/>
  <c r="X52" i="41"/>
  <c r="BT52" i="41"/>
  <c r="CF52" i="41" s="1"/>
  <c r="AH52" i="41"/>
  <c r="V52" i="41"/>
  <c r="AT52" i="41"/>
  <c r="BR52" i="41"/>
  <c r="CD52" i="41" s="1"/>
  <c r="AY52" i="41"/>
  <c r="CU52" i="41" s="1"/>
  <c r="AA52" i="41"/>
  <c r="AM52" i="41"/>
  <c r="BW52" i="41"/>
  <c r="CI52" i="41" s="1"/>
  <c r="EG50" i="41"/>
  <c r="EL50" i="41"/>
  <c r="DO51" i="41"/>
  <c r="EM51" i="41" s="1"/>
  <c r="DC51" i="41"/>
  <c r="EA51" i="41" s="1"/>
  <c r="CT51" i="41"/>
  <c r="F53" i="41"/>
  <c r="J53" i="41"/>
  <c r="N53" i="41"/>
  <c r="K53" i="41"/>
  <c r="H53" i="41"/>
  <c r="M53" i="41"/>
  <c r="L53" i="41"/>
  <c r="BG53" i="41"/>
  <c r="BI53" i="41"/>
  <c r="BB53" i="41"/>
  <c r="BH53" i="41"/>
  <c r="BD53" i="41"/>
  <c r="I53" i="41"/>
  <c r="G53" i="41"/>
  <c r="BL53" i="41"/>
  <c r="E53" i="41"/>
  <c r="BE53" i="41"/>
  <c r="BK53" i="41"/>
  <c r="P53" i="41"/>
  <c r="BJ53" i="41"/>
  <c r="BC53" i="41"/>
  <c r="O53" i="41"/>
  <c r="BF53" i="41"/>
  <c r="BA53" i="41"/>
  <c r="ER50" i="41"/>
  <c r="DI51" i="41"/>
  <c r="CW51" i="41"/>
  <c r="DU51" i="41" s="1"/>
  <c r="EP50" i="41"/>
  <c r="AL52" i="41"/>
  <c r="BV52" i="41"/>
  <c r="CH52" i="41" s="1"/>
  <c r="Z52" i="41"/>
  <c r="AX52" i="41"/>
  <c r="CT52" i="41" s="1"/>
  <c r="DK51" i="41"/>
  <c r="EI51" i="41" s="1"/>
  <c r="CY51" i="41"/>
  <c r="DW51" i="41" s="1"/>
  <c r="DN51" i="41"/>
  <c r="EL51" i="41" s="1"/>
  <c r="DB51" i="41"/>
  <c r="DZ51" i="41" s="1"/>
  <c r="AO52" i="41"/>
  <c r="BM52" i="41"/>
  <c r="BY52" i="41" s="1"/>
  <c r="Q52" i="41"/>
  <c r="AC52" i="41"/>
  <c r="C55" i="41"/>
  <c r="D54" i="41"/>
  <c r="EF50" i="41"/>
  <c r="DQ51" i="41"/>
  <c r="EO51" i="41" s="1"/>
  <c r="DE51" i="41"/>
  <c r="EC51" i="41" s="1"/>
  <c r="DM51" i="41"/>
  <c r="EK51" i="41" s="1"/>
  <c r="DA51" i="41"/>
  <c r="DY51" i="41" s="1"/>
  <c r="CV51" i="41"/>
  <c r="EE50" i="41"/>
  <c r="DP51" i="41"/>
  <c r="DD51" i="41"/>
  <c r="EB51" i="41" s="1"/>
  <c r="AZ52" i="41"/>
  <c r="CV52" i="41" s="1"/>
  <c r="AB52" i="41"/>
  <c r="BX52" i="41"/>
  <c r="CJ52" i="41" s="1"/>
  <c r="AN52" i="41"/>
  <c r="AF52" i="41"/>
  <c r="T52" i="41"/>
  <c r="AR52" i="41"/>
  <c r="BP52" i="41"/>
  <c r="CB52" i="41" s="1"/>
  <c r="EC50" i="41"/>
  <c r="DR51" i="41"/>
  <c r="DF51" i="41"/>
  <c r="DV50" i="41"/>
  <c r="DJ51" i="41"/>
  <c r="EH51" i="41" s="1"/>
  <c r="CX51" i="41"/>
  <c r="DV51" i="41" s="1"/>
  <c r="CK51" i="41"/>
  <c r="ED50" i="41"/>
  <c r="AI53" i="41" l="1"/>
  <c r="BS53" i="41"/>
  <c r="CE53" i="41" s="1"/>
  <c r="W53" i="41"/>
  <c r="AU53" i="41"/>
  <c r="CQ53" i="41" s="1"/>
  <c r="DO52" i="41"/>
  <c r="DC52" i="41"/>
  <c r="DL52" i="41"/>
  <c r="EJ52" i="41" s="1"/>
  <c r="CZ52" i="41"/>
  <c r="DX52" i="41" s="1"/>
  <c r="AV53" i="41"/>
  <c r="AJ53" i="41"/>
  <c r="BT53" i="41"/>
  <c r="CF53" i="41" s="1"/>
  <c r="X53" i="41"/>
  <c r="DN52" i="41"/>
  <c r="DB52" i="41"/>
  <c r="CY52" i="41"/>
  <c r="DW52" i="41" s="1"/>
  <c r="DK52" i="41"/>
  <c r="EI52" i="41" s="1"/>
  <c r="ED51" i="41"/>
  <c r="CN52" i="41"/>
  <c r="DT52" i="41"/>
  <c r="ER52" i="41" s="1"/>
  <c r="DH52" i="41"/>
  <c r="EF52" i="41" s="1"/>
  <c r="EN51" i="41"/>
  <c r="G54" i="41"/>
  <c r="K54" i="41"/>
  <c r="BK54" i="41"/>
  <c r="BJ54" i="41"/>
  <c r="O54" i="41"/>
  <c r="H54" i="41"/>
  <c r="F54" i="41"/>
  <c r="J54" i="41"/>
  <c r="BA54" i="41"/>
  <c r="E54" i="41"/>
  <c r="N54" i="41"/>
  <c r="BD54" i="41"/>
  <c r="BE54" i="41"/>
  <c r="BC54" i="41"/>
  <c r="BH54" i="41"/>
  <c r="M54" i="41"/>
  <c r="L54" i="41"/>
  <c r="I54" i="41"/>
  <c r="BI54" i="41"/>
  <c r="BG54" i="41"/>
  <c r="BF54" i="41"/>
  <c r="BL54" i="41"/>
  <c r="BB54" i="41"/>
  <c r="P54" i="41"/>
  <c r="DI52" i="41"/>
  <c r="CW52" i="41"/>
  <c r="DR52" i="41"/>
  <c r="EP52" i="41" s="1"/>
  <c r="DF52" i="41"/>
  <c r="ED52" i="41" s="1"/>
  <c r="EG51" i="41"/>
  <c r="AM53" i="41"/>
  <c r="AA53" i="41"/>
  <c r="AY53" i="41"/>
  <c r="BW53" i="41"/>
  <c r="CI53" i="41" s="1"/>
  <c r="AE53" i="41"/>
  <c r="BO53" i="41"/>
  <c r="CA53" i="41" s="1"/>
  <c r="AQ53" i="41"/>
  <c r="S53" i="41"/>
  <c r="Y53" i="41"/>
  <c r="AW53" i="41"/>
  <c r="CS53" i="41" s="1"/>
  <c r="BU53" i="41"/>
  <c r="CG53" i="41" s="1"/>
  <c r="AK53" i="41"/>
  <c r="BR53" i="41"/>
  <c r="CD53" i="41" s="1"/>
  <c r="AT53" i="41"/>
  <c r="CP53" i="41" s="1"/>
  <c r="V53" i="41"/>
  <c r="AH53" i="41"/>
  <c r="CP52" i="41"/>
  <c r="ER51" i="41"/>
  <c r="DE52" i="41"/>
  <c r="DQ52" i="41"/>
  <c r="CO52" i="41"/>
  <c r="Q53" i="41"/>
  <c r="BM53" i="41"/>
  <c r="BY53" i="41" s="1"/>
  <c r="AO53" i="41"/>
  <c r="AC53" i="41"/>
  <c r="DJ52" i="41"/>
  <c r="CX52" i="41"/>
  <c r="AZ53" i="41"/>
  <c r="AN53" i="41"/>
  <c r="BX53" i="41"/>
  <c r="CJ53" i="41" s="1"/>
  <c r="AB53" i="41"/>
  <c r="AX53" i="41"/>
  <c r="AL53" i="41"/>
  <c r="Z53" i="41"/>
  <c r="BV53" i="41"/>
  <c r="CH53" i="41" s="1"/>
  <c r="DS52" i="41"/>
  <c r="EQ52" i="41" s="1"/>
  <c r="DG52" i="41"/>
  <c r="EE52" i="41" s="1"/>
  <c r="DP52" i="41"/>
  <c r="EN52" i="41" s="1"/>
  <c r="DD52" i="41"/>
  <c r="EB52" i="41" s="1"/>
  <c r="DA52" i="41"/>
  <c r="DM52" i="41"/>
  <c r="EK52" i="41" s="1"/>
  <c r="EP51" i="41"/>
  <c r="C56" i="41"/>
  <c r="D55" i="41"/>
  <c r="CK52" i="41"/>
  <c r="U53" i="41"/>
  <c r="BQ53" i="41"/>
  <c r="CC53" i="41" s="1"/>
  <c r="AS53" i="41"/>
  <c r="AG53" i="41"/>
  <c r="T53" i="41"/>
  <c r="BP53" i="41"/>
  <c r="CB53" i="41" s="1"/>
  <c r="AF53" i="41"/>
  <c r="AR53" i="41"/>
  <c r="AP53" i="41"/>
  <c r="CL53" i="41" s="1"/>
  <c r="AD53" i="41"/>
  <c r="R53" i="41"/>
  <c r="BN53" i="41"/>
  <c r="BZ53" i="41" s="1"/>
  <c r="CL52" i="41"/>
  <c r="EF51" i="41"/>
  <c r="CS52" i="41"/>
  <c r="CQ52" i="41"/>
  <c r="DH53" i="41" l="1"/>
  <c r="DT53" i="41"/>
  <c r="EH52" i="41"/>
  <c r="DK53" i="41"/>
  <c r="EI53" i="41" s="1"/>
  <c r="CY53" i="41"/>
  <c r="BV54" i="41"/>
  <c r="CH54" i="41" s="1"/>
  <c r="AX54" i="41"/>
  <c r="AL54" i="41"/>
  <c r="Z54" i="41"/>
  <c r="AD54" i="41"/>
  <c r="R54" i="41"/>
  <c r="AP54" i="41"/>
  <c r="CL54" i="41" s="1"/>
  <c r="BN54" i="41"/>
  <c r="BZ54" i="41" s="1"/>
  <c r="DN53" i="41"/>
  <c r="EL53" i="41" s="1"/>
  <c r="DB53" i="41"/>
  <c r="DZ53" i="41" s="1"/>
  <c r="AS54" i="41"/>
  <c r="CO54" i="41" s="1"/>
  <c r="U54" i="41"/>
  <c r="AG54" i="41"/>
  <c r="BQ54" i="41"/>
  <c r="CC54" i="41" s="1"/>
  <c r="Q54" i="41"/>
  <c r="BM54" i="41"/>
  <c r="BY54" i="41" s="1"/>
  <c r="AO54" i="41"/>
  <c r="AC54" i="41"/>
  <c r="AU54" i="41"/>
  <c r="CQ54" i="41" s="1"/>
  <c r="AI54" i="41"/>
  <c r="W54" i="41"/>
  <c r="BS54" i="41"/>
  <c r="CE54" i="41" s="1"/>
  <c r="DD53" i="41"/>
  <c r="DP53" i="41"/>
  <c r="CO53" i="41"/>
  <c r="H55" i="41"/>
  <c r="N55" i="41"/>
  <c r="E55" i="41"/>
  <c r="O55" i="41"/>
  <c r="L55" i="41"/>
  <c r="G55" i="41"/>
  <c r="J55" i="41"/>
  <c r="F55" i="41"/>
  <c r="BF55" i="41"/>
  <c r="BK55" i="41"/>
  <c r="BH55" i="41"/>
  <c r="BG55" i="41"/>
  <c r="BC55" i="41"/>
  <c r="BI55" i="41"/>
  <c r="P55" i="41"/>
  <c r="BL55" i="41"/>
  <c r="I55" i="41"/>
  <c r="K55" i="41"/>
  <c r="BD55" i="41"/>
  <c r="BE55" i="41"/>
  <c r="BJ55" i="41"/>
  <c r="BB55" i="41"/>
  <c r="M55" i="41"/>
  <c r="BA55" i="41"/>
  <c r="DY52" i="41"/>
  <c r="CT53" i="41"/>
  <c r="CV53" i="41"/>
  <c r="CK53" i="41"/>
  <c r="EO52" i="41"/>
  <c r="DS53" i="41"/>
  <c r="EQ53" i="41" s="1"/>
  <c r="DG53" i="41"/>
  <c r="EG52" i="41"/>
  <c r="AV54" i="41"/>
  <c r="AJ54" i="41"/>
  <c r="BT54" i="41"/>
  <c r="CF54" i="41" s="1"/>
  <c r="X54" i="41"/>
  <c r="AM54" i="41"/>
  <c r="BW54" i="41"/>
  <c r="CI54" i="41" s="1"/>
  <c r="AY54" i="41"/>
  <c r="AA54" i="41"/>
  <c r="S54" i="41"/>
  <c r="AE54" i="41"/>
  <c r="BO54" i="41"/>
  <c r="CA54" i="41" s="1"/>
  <c r="AQ54" i="41"/>
  <c r="DZ52" i="41"/>
  <c r="EA52" i="41"/>
  <c r="DO53" i="41"/>
  <c r="EM53" i="41" s="1"/>
  <c r="DC53" i="41"/>
  <c r="EA53" i="41" s="1"/>
  <c r="DJ53" i="41"/>
  <c r="EH53" i="41" s="1"/>
  <c r="CX53" i="41"/>
  <c r="DV53" i="41" s="1"/>
  <c r="CN53" i="41"/>
  <c r="DU52" i="41"/>
  <c r="AR54" i="41"/>
  <c r="T54" i="41"/>
  <c r="AF54" i="41"/>
  <c r="BP54" i="41"/>
  <c r="CB54" i="41" s="1"/>
  <c r="CZ53" i="41"/>
  <c r="DX53" i="41" s="1"/>
  <c r="DL53" i="41"/>
  <c r="EJ53" i="41" s="1"/>
  <c r="DA53" i="41"/>
  <c r="DY53" i="41" s="1"/>
  <c r="DM53" i="41"/>
  <c r="EK53" i="41" s="1"/>
  <c r="C57" i="41"/>
  <c r="D56" i="41"/>
  <c r="DR53" i="41"/>
  <c r="DF53" i="41"/>
  <c r="DV52" i="41"/>
  <c r="DI53" i="41"/>
  <c r="EG53" i="41" s="1"/>
  <c r="CW53" i="41"/>
  <c r="DU53" i="41" s="1"/>
  <c r="EC52" i="41"/>
  <c r="DQ53" i="41"/>
  <c r="EO53" i="41" s="1"/>
  <c r="DE53" i="41"/>
  <c r="EC53" i="41" s="1"/>
  <c r="CM53" i="41"/>
  <c r="CU53" i="41"/>
  <c r="AZ54" i="41"/>
  <c r="AN54" i="41"/>
  <c r="BX54" i="41"/>
  <c r="CJ54" i="41" s="1"/>
  <c r="AB54" i="41"/>
  <c r="BU54" i="41"/>
  <c r="CG54" i="41" s="1"/>
  <c r="Y54" i="41"/>
  <c r="AK54" i="41"/>
  <c r="AW54" i="41"/>
  <c r="AH54" i="41"/>
  <c r="V54" i="41"/>
  <c r="BR54" i="41"/>
  <c r="CD54" i="41" s="1"/>
  <c r="AT54" i="41"/>
  <c r="EL52" i="41"/>
  <c r="CR53" i="41"/>
  <c r="EM52" i="41"/>
  <c r="DG54" i="41" l="1"/>
  <c r="DS54" i="41"/>
  <c r="S55" i="41"/>
  <c r="BO55" i="41"/>
  <c r="CA55" i="41" s="1"/>
  <c r="AQ55" i="41"/>
  <c r="CM55" i="41" s="1"/>
  <c r="AE55" i="41"/>
  <c r="DQ54" i="41"/>
  <c r="DE54" i="41"/>
  <c r="C58" i="41"/>
  <c r="D57" i="41"/>
  <c r="CN54" i="41"/>
  <c r="BT55" i="41"/>
  <c r="CF55" i="41" s="1"/>
  <c r="X55" i="41"/>
  <c r="AV55" i="41"/>
  <c r="AJ55" i="41"/>
  <c r="DM54" i="41"/>
  <c r="EK54" i="41" s="1"/>
  <c r="DA54" i="41"/>
  <c r="DY54" i="41" s="1"/>
  <c r="CT54" i="41"/>
  <c r="CP54" i="41"/>
  <c r="CS54" i="41"/>
  <c r="ED53" i="41"/>
  <c r="DL54" i="41"/>
  <c r="EJ54" i="41" s="1"/>
  <c r="CZ54" i="41"/>
  <c r="DX54" i="41" s="1"/>
  <c r="CM54" i="41"/>
  <c r="AD55" i="41"/>
  <c r="AP55" i="41"/>
  <c r="R55" i="41"/>
  <c r="BN55" i="41"/>
  <c r="BZ55" i="41" s="1"/>
  <c r="AM55" i="41"/>
  <c r="AA55" i="41"/>
  <c r="AY55" i="41"/>
  <c r="BW55" i="41"/>
  <c r="CI55" i="41" s="1"/>
  <c r="CK54" i="41"/>
  <c r="DR54" i="41"/>
  <c r="EP54" i="41" s="1"/>
  <c r="DF54" i="41"/>
  <c r="ED54" i="41" s="1"/>
  <c r="ER53" i="41"/>
  <c r="J56" i="41"/>
  <c r="N56" i="41"/>
  <c r="BC56" i="41"/>
  <c r="BI56" i="41"/>
  <c r="BB56" i="41"/>
  <c r="BL56" i="41"/>
  <c r="P56" i="41"/>
  <c r="H56" i="41"/>
  <c r="L56" i="41"/>
  <c r="K56" i="41"/>
  <c r="I56" i="41"/>
  <c r="M56" i="41"/>
  <c r="G56" i="41"/>
  <c r="F56" i="41"/>
  <c r="BA56" i="41"/>
  <c r="BE56" i="41"/>
  <c r="BG56" i="41"/>
  <c r="BJ56" i="41"/>
  <c r="BF56" i="41"/>
  <c r="BH56" i="41"/>
  <c r="BK56" i="41"/>
  <c r="E56" i="41"/>
  <c r="BD56" i="41"/>
  <c r="O56" i="41"/>
  <c r="AI55" i="41"/>
  <c r="BS55" i="41"/>
  <c r="CE55" i="41" s="1"/>
  <c r="AU55" i="41"/>
  <c r="W55" i="41"/>
  <c r="AL55" i="41"/>
  <c r="Z55" i="41"/>
  <c r="BV55" i="41"/>
  <c r="CH55" i="41" s="1"/>
  <c r="AX55" i="41"/>
  <c r="EB53" i="41"/>
  <c r="CV54" i="41"/>
  <c r="CR54" i="41"/>
  <c r="BQ55" i="41"/>
  <c r="CC55" i="41" s="1"/>
  <c r="U55" i="41"/>
  <c r="AS55" i="41"/>
  <c r="AG55" i="41"/>
  <c r="BP55" i="41"/>
  <c r="CB55" i="41" s="1"/>
  <c r="AR55" i="41"/>
  <c r="CN55" i="41" s="1"/>
  <c r="AF55" i="41"/>
  <c r="T55" i="41"/>
  <c r="DO54" i="41"/>
  <c r="EM54" i="41" s="1"/>
  <c r="DC54" i="41"/>
  <c r="EA54" i="41" s="1"/>
  <c r="DB54" i="41"/>
  <c r="DZ54" i="41" s="1"/>
  <c r="DN54" i="41"/>
  <c r="EL54" i="41" s="1"/>
  <c r="DT54" i="41"/>
  <c r="ER54" i="41" s="1"/>
  <c r="DH54" i="41"/>
  <c r="EF54" i="41" s="1"/>
  <c r="EP53" i="41"/>
  <c r="DK54" i="41"/>
  <c r="CY54" i="41"/>
  <c r="DW54" i="41" s="1"/>
  <c r="CU54" i="41"/>
  <c r="DP54" i="41"/>
  <c r="DD54" i="41"/>
  <c r="EB54" i="41" s="1"/>
  <c r="EE53" i="41"/>
  <c r="Y55" i="41"/>
  <c r="BU55" i="41"/>
  <c r="CG55" i="41" s="1"/>
  <c r="AW55" i="41"/>
  <c r="AK55" i="41"/>
  <c r="AB55" i="41"/>
  <c r="BX55" i="41"/>
  <c r="CJ55" i="41" s="1"/>
  <c r="AZ55" i="41"/>
  <c r="AN55" i="41"/>
  <c r="AH55" i="41"/>
  <c r="AT55" i="41"/>
  <c r="V55" i="41"/>
  <c r="BR55" i="41"/>
  <c r="CD55" i="41" s="1"/>
  <c r="Q55" i="41"/>
  <c r="AO55" i="41"/>
  <c r="AC55" i="41"/>
  <c r="BM55" i="41"/>
  <c r="BY55" i="41" s="1"/>
  <c r="EN53" i="41"/>
  <c r="DI54" i="41"/>
  <c r="CW54" i="41"/>
  <c r="DJ54" i="41"/>
  <c r="EH54" i="41" s="1"/>
  <c r="CX54" i="41"/>
  <c r="DV54" i="41" s="1"/>
  <c r="DW53" i="41"/>
  <c r="EF53" i="41"/>
  <c r="AE56" i="41" l="1"/>
  <c r="BO56" i="41"/>
  <c r="CA56" i="41" s="1"/>
  <c r="AQ56" i="41"/>
  <c r="S56" i="41"/>
  <c r="AJ56" i="41"/>
  <c r="AV56" i="41"/>
  <c r="BT56" i="41"/>
  <c r="CF56" i="41" s="1"/>
  <c r="X56" i="41"/>
  <c r="AH56" i="41"/>
  <c r="BR56" i="41"/>
  <c r="CD56" i="41" s="1"/>
  <c r="AT56" i="41"/>
  <c r="V56" i="41"/>
  <c r="DN55" i="41"/>
  <c r="DB55" i="41"/>
  <c r="CT55" i="41"/>
  <c r="AW56" i="41"/>
  <c r="CS56" i="41" s="1"/>
  <c r="Y56" i="41"/>
  <c r="AK56" i="41"/>
  <c r="BU56" i="41"/>
  <c r="CG56" i="41" s="1"/>
  <c r="AR56" i="41"/>
  <c r="CN56" i="41" s="1"/>
  <c r="T56" i="41"/>
  <c r="AF56" i="41"/>
  <c r="BP56" i="41"/>
  <c r="CB56" i="41" s="1"/>
  <c r="DG55" i="41"/>
  <c r="DS55" i="41"/>
  <c r="DP55" i="41"/>
  <c r="DD55" i="41"/>
  <c r="CY55" i="41"/>
  <c r="DW55" i="41" s="1"/>
  <c r="DK55" i="41"/>
  <c r="EI55" i="41" s="1"/>
  <c r="DU54" i="41"/>
  <c r="CS55" i="41"/>
  <c r="EI54" i="41"/>
  <c r="DR55" i="41"/>
  <c r="DF55" i="41"/>
  <c r="CQ55" i="41"/>
  <c r="AG56" i="41"/>
  <c r="U56" i="41"/>
  <c r="AS56" i="41"/>
  <c r="BQ56" i="41"/>
  <c r="CC56" i="41" s="1"/>
  <c r="AZ56" i="41"/>
  <c r="CV56" i="41" s="1"/>
  <c r="AB56" i="41"/>
  <c r="BX56" i="41"/>
  <c r="CJ56" i="41" s="1"/>
  <c r="AN56" i="41"/>
  <c r="CU55" i="41"/>
  <c r="EO54" i="41"/>
  <c r="D58" i="41"/>
  <c r="C59" i="41"/>
  <c r="EE54" i="41"/>
  <c r="CW55" i="41"/>
  <c r="DI55" i="41"/>
  <c r="DL55" i="41"/>
  <c r="EJ55" i="41" s="1"/>
  <c r="CZ55" i="41"/>
  <c r="DX55" i="41" s="1"/>
  <c r="DM55" i="41"/>
  <c r="DA55" i="41"/>
  <c r="BW56" i="41"/>
  <c r="CI56" i="41" s="1"/>
  <c r="AY56" i="41"/>
  <c r="CU56" i="41" s="1"/>
  <c r="AA56" i="41"/>
  <c r="AM56" i="41"/>
  <c r="DJ55" i="41"/>
  <c r="EH55" i="41" s="1"/>
  <c r="CX55" i="41"/>
  <c r="DV55" i="41" s="1"/>
  <c r="EC54" i="41"/>
  <c r="CV55" i="41"/>
  <c r="EG54" i="41"/>
  <c r="CK55" i="41"/>
  <c r="CP55" i="41"/>
  <c r="DT55" i="41"/>
  <c r="ER55" i="41" s="1"/>
  <c r="DH55" i="41"/>
  <c r="EF55" i="41" s="1"/>
  <c r="DQ55" i="41"/>
  <c r="EO55" i="41" s="1"/>
  <c r="DE55" i="41"/>
  <c r="EN54" i="41"/>
  <c r="CO55" i="41"/>
  <c r="DO55" i="41"/>
  <c r="EM55" i="41" s="1"/>
  <c r="DC55" i="41"/>
  <c r="AO56" i="41"/>
  <c r="Q56" i="41"/>
  <c r="BM56" i="41"/>
  <c r="BY56" i="41" s="1"/>
  <c r="AC56" i="41"/>
  <c r="R56" i="41"/>
  <c r="AD56" i="41"/>
  <c r="BN56" i="41"/>
  <c r="BZ56" i="41" s="1"/>
  <c r="AP56" i="41"/>
  <c r="AU56" i="41"/>
  <c r="AI56" i="41"/>
  <c r="BS56" i="41"/>
  <c r="CE56" i="41" s="1"/>
  <c r="W56" i="41"/>
  <c r="AL56" i="41"/>
  <c r="Z56" i="41"/>
  <c r="BV56" i="41"/>
  <c r="CH56" i="41" s="1"/>
  <c r="AX56" i="41"/>
  <c r="CL55" i="41"/>
  <c r="CR55" i="41"/>
  <c r="G57" i="41"/>
  <c r="F57" i="41"/>
  <c r="J57" i="41"/>
  <c r="N57" i="41"/>
  <c r="O57" i="41"/>
  <c r="H57" i="41"/>
  <c r="L57" i="41"/>
  <c r="P57" i="41"/>
  <c r="BC57" i="41"/>
  <c r="BA57" i="41"/>
  <c r="BH57" i="41"/>
  <c r="I57" i="41"/>
  <c r="BE57" i="41"/>
  <c r="BI57" i="41"/>
  <c r="BL57" i="41"/>
  <c r="BF57" i="41"/>
  <c r="K57" i="41"/>
  <c r="BD57" i="41"/>
  <c r="BK57" i="41"/>
  <c r="BJ57" i="41"/>
  <c r="M57" i="41"/>
  <c r="BG57" i="41"/>
  <c r="BB57" i="41"/>
  <c r="E57" i="41"/>
  <c r="EQ54" i="41"/>
  <c r="W57" i="41" l="1"/>
  <c r="AI57" i="41"/>
  <c r="BS57" i="41"/>
  <c r="CE57" i="41" s="1"/>
  <c r="AU57" i="41"/>
  <c r="CQ57" i="41" s="1"/>
  <c r="S57" i="41"/>
  <c r="BO57" i="41"/>
  <c r="CA57" i="41" s="1"/>
  <c r="AQ57" i="41"/>
  <c r="AE57" i="41"/>
  <c r="DO56" i="41"/>
  <c r="DC56" i="41"/>
  <c r="DI56" i="41"/>
  <c r="EG56" i="41" s="1"/>
  <c r="CW56" i="41"/>
  <c r="DU56" i="41" s="1"/>
  <c r="BM57" i="41"/>
  <c r="BY57" i="41" s="1"/>
  <c r="AO57" i="41"/>
  <c r="AC57" i="41"/>
  <c r="Q57" i="41"/>
  <c r="BX57" i="41"/>
  <c r="CJ57" i="41" s="1"/>
  <c r="AZ57" i="41"/>
  <c r="AN57" i="41"/>
  <c r="AB57" i="41"/>
  <c r="DL56" i="41"/>
  <c r="EJ56" i="41" s="1"/>
  <c r="CZ56" i="41"/>
  <c r="DX56" i="41" s="1"/>
  <c r="CP56" i="41"/>
  <c r="AV57" i="41"/>
  <c r="CR57" i="41" s="1"/>
  <c r="AJ57" i="41"/>
  <c r="X57" i="41"/>
  <c r="BT57" i="41"/>
  <c r="CF57" i="41" s="1"/>
  <c r="AT57" i="41"/>
  <c r="CP57" i="41" s="1"/>
  <c r="AH57" i="41"/>
  <c r="V57" i="41"/>
  <c r="BR57" i="41"/>
  <c r="CD57" i="41" s="1"/>
  <c r="CQ56" i="41"/>
  <c r="CK56" i="41"/>
  <c r="DY55" i="41"/>
  <c r="EG55" i="41"/>
  <c r="H58" i="41"/>
  <c r="P58" i="41"/>
  <c r="BA58" i="41"/>
  <c r="BH58" i="41"/>
  <c r="J58" i="41"/>
  <c r="G58" i="41"/>
  <c r="L58" i="41"/>
  <c r="N58" i="41"/>
  <c r="BL58" i="41"/>
  <c r="BI58" i="41"/>
  <c r="BG58" i="41"/>
  <c r="BD58" i="41"/>
  <c r="BF58" i="41"/>
  <c r="M58" i="41"/>
  <c r="E58" i="41"/>
  <c r="K58" i="41"/>
  <c r="BB58" i="41"/>
  <c r="BK58" i="41"/>
  <c r="I58" i="41"/>
  <c r="BE58" i="41"/>
  <c r="BJ58" i="41"/>
  <c r="F58" i="41"/>
  <c r="BC58" i="41"/>
  <c r="O58" i="41"/>
  <c r="DT56" i="41"/>
  <c r="ER56" i="41" s="1"/>
  <c r="DH56" i="41"/>
  <c r="EF56" i="41" s="1"/>
  <c r="CO56" i="41"/>
  <c r="ED55" i="41"/>
  <c r="EN55" i="41"/>
  <c r="DZ55" i="41"/>
  <c r="DB56" i="41"/>
  <c r="DN56" i="41"/>
  <c r="EL56" i="41" s="1"/>
  <c r="CR56" i="41"/>
  <c r="CY56" i="41"/>
  <c r="DK56" i="41"/>
  <c r="BU57" i="41"/>
  <c r="CG57" i="41" s="1"/>
  <c r="Y57" i="41"/>
  <c r="AW57" i="41"/>
  <c r="AK57" i="41"/>
  <c r="BW57" i="41"/>
  <c r="CI57" i="41" s="1"/>
  <c r="AY57" i="41"/>
  <c r="CU57" i="41" s="1"/>
  <c r="AM57" i="41"/>
  <c r="AA57" i="41"/>
  <c r="DR56" i="41"/>
  <c r="DF56" i="41"/>
  <c r="DJ56" i="41"/>
  <c r="CX56" i="41"/>
  <c r="EE55" i="41"/>
  <c r="U57" i="41"/>
  <c r="BQ57" i="41"/>
  <c r="CC57" i="41" s="1"/>
  <c r="AG57" i="41"/>
  <c r="AS57" i="41"/>
  <c r="Z57" i="41"/>
  <c r="BV57" i="41"/>
  <c r="CH57" i="41" s="1"/>
  <c r="AL57" i="41"/>
  <c r="AX57" i="41"/>
  <c r="DG56" i="41"/>
  <c r="EE56" i="41" s="1"/>
  <c r="DS56" i="41"/>
  <c r="EQ56" i="41" s="1"/>
  <c r="D59" i="41"/>
  <c r="C60" i="41"/>
  <c r="DM56" i="41"/>
  <c r="EK56" i="41" s="1"/>
  <c r="DA56" i="41"/>
  <c r="DY56" i="41" s="1"/>
  <c r="EB55" i="41"/>
  <c r="DQ56" i="41"/>
  <c r="EO56" i="41" s="1"/>
  <c r="DE56" i="41"/>
  <c r="EC56" i="41" s="1"/>
  <c r="DP56" i="41"/>
  <c r="DD56" i="41"/>
  <c r="CM56" i="41"/>
  <c r="BP57" i="41"/>
  <c r="CB57" i="41" s="1"/>
  <c r="AF57" i="41"/>
  <c r="T57" i="41"/>
  <c r="AR57" i="41"/>
  <c r="CN57" i="41" s="1"/>
  <c r="R57" i="41"/>
  <c r="BN57" i="41"/>
  <c r="BZ57" i="41" s="1"/>
  <c r="AP57" i="41"/>
  <c r="AD57" i="41"/>
  <c r="CT56" i="41"/>
  <c r="CL56" i="41"/>
  <c r="EA55" i="41"/>
  <c r="EC55" i="41"/>
  <c r="EK55" i="41"/>
  <c r="DU55" i="41"/>
  <c r="EP55" i="41"/>
  <c r="EQ55" i="41"/>
  <c r="EL55" i="41"/>
  <c r="V58" i="41" l="1"/>
  <c r="AT58" i="41"/>
  <c r="BR58" i="41"/>
  <c r="CD58" i="41" s="1"/>
  <c r="AH58" i="41"/>
  <c r="CT57" i="41"/>
  <c r="DS57" i="41"/>
  <c r="EQ57" i="41" s="1"/>
  <c r="DG57" i="41"/>
  <c r="EE57" i="41" s="1"/>
  <c r="Z58" i="41"/>
  <c r="AX58" i="41"/>
  <c r="BV58" i="41"/>
  <c r="CH58" i="41" s="1"/>
  <c r="AL58" i="41"/>
  <c r="DC57" i="41"/>
  <c r="EA57" i="41" s="1"/>
  <c r="DO57" i="41"/>
  <c r="EM57" i="41" s="1"/>
  <c r="EB56" i="41"/>
  <c r="N59" i="41"/>
  <c r="F59" i="41"/>
  <c r="I59" i="41"/>
  <c r="L59" i="41"/>
  <c r="O59" i="41"/>
  <c r="G59" i="41"/>
  <c r="J59" i="41"/>
  <c r="E59" i="41"/>
  <c r="H59" i="41"/>
  <c r="M59" i="41"/>
  <c r="K59" i="41"/>
  <c r="P59" i="41"/>
  <c r="BC59" i="41"/>
  <c r="BK59" i="41"/>
  <c r="BG59" i="41"/>
  <c r="BF59" i="41"/>
  <c r="BI59" i="41"/>
  <c r="BH59" i="41"/>
  <c r="BE59" i="41"/>
  <c r="BB59" i="41"/>
  <c r="BL59" i="41"/>
  <c r="BD59" i="41"/>
  <c r="BJ59" i="41"/>
  <c r="BA59" i="41"/>
  <c r="DV56" i="41"/>
  <c r="EI56" i="41"/>
  <c r="DZ56" i="41"/>
  <c r="AS58" i="41"/>
  <c r="BQ58" i="41"/>
  <c r="CC58" i="41" s="1"/>
  <c r="U58" i="41"/>
  <c r="AG58" i="41"/>
  <c r="BM58" i="41"/>
  <c r="BY58" i="41" s="1"/>
  <c r="AO58" i="41"/>
  <c r="AC58" i="41"/>
  <c r="Q58" i="41"/>
  <c r="BT58" i="41"/>
  <c r="CF58" i="41" s="1"/>
  <c r="X58" i="41"/>
  <c r="AV58" i="41"/>
  <c r="CR58" i="41" s="1"/>
  <c r="AJ58" i="41"/>
  <c r="CV57" i="41"/>
  <c r="CK57" i="41"/>
  <c r="EA56" i="41"/>
  <c r="DK57" i="41"/>
  <c r="CY57" i="41"/>
  <c r="DL57" i="41"/>
  <c r="EJ57" i="41" s="1"/>
  <c r="CZ57" i="41"/>
  <c r="DX57" i="41" s="1"/>
  <c r="ED56" i="41"/>
  <c r="BP58" i="41"/>
  <c r="CB58" i="41" s="1"/>
  <c r="T58" i="41"/>
  <c r="AR58" i="41"/>
  <c r="CN58" i="41" s="1"/>
  <c r="AF58" i="41"/>
  <c r="D60" i="41"/>
  <c r="C61" i="41"/>
  <c r="CO57" i="41"/>
  <c r="EP56" i="41"/>
  <c r="DQ57" i="41"/>
  <c r="DE57" i="41"/>
  <c r="EC57" i="41" s="1"/>
  <c r="AA58" i="41"/>
  <c r="BW58" i="41"/>
  <c r="CI58" i="41" s="1"/>
  <c r="AY58" i="41"/>
  <c r="AM58" i="41"/>
  <c r="AU58" i="41"/>
  <c r="CQ58" i="41" s="1"/>
  <c r="W58" i="41"/>
  <c r="BS58" i="41"/>
  <c r="CE58" i="41" s="1"/>
  <c r="AI58" i="41"/>
  <c r="DB57" i="41"/>
  <c r="DZ57" i="41" s="1"/>
  <c r="DN57" i="41"/>
  <c r="EL57" i="41" s="1"/>
  <c r="DP57" i="41"/>
  <c r="EN57" i="41" s="1"/>
  <c r="DD57" i="41"/>
  <c r="EB57" i="41" s="1"/>
  <c r="CM57" i="41"/>
  <c r="CL57" i="41"/>
  <c r="CX57" i="41"/>
  <c r="DJ57" i="41"/>
  <c r="EH57" i="41" s="1"/>
  <c r="EN56" i="41"/>
  <c r="DF57" i="41"/>
  <c r="ED57" i="41" s="1"/>
  <c r="DR57" i="41"/>
  <c r="EP57" i="41" s="1"/>
  <c r="DM57" i="41"/>
  <c r="DA57" i="41"/>
  <c r="DY57" i="41" s="1"/>
  <c r="EH56" i="41"/>
  <c r="CS57" i="41"/>
  <c r="DW56" i="41"/>
  <c r="R58" i="41"/>
  <c r="BN58" i="41"/>
  <c r="BZ58" i="41" s="1"/>
  <c r="AD58" i="41"/>
  <c r="AP58" i="41"/>
  <c r="AW58" i="41"/>
  <c r="CS58" i="41" s="1"/>
  <c r="BU58" i="41"/>
  <c r="CG58" i="41" s="1"/>
  <c r="Y58" i="41"/>
  <c r="AK58" i="41"/>
  <c r="AQ58" i="41"/>
  <c r="CM58" i="41" s="1"/>
  <c r="S58" i="41"/>
  <c r="AE58" i="41"/>
  <c r="BO58" i="41"/>
  <c r="CA58" i="41" s="1"/>
  <c r="BX58" i="41"/>
  <c r="CJ58" i="41" s="1"/>
  <c r="AZ58" i="41"/>
  <c r="AN58" i="41"/>
  <c r="AB58" i="41"/>
  <c r="DH57" i="41"/>
  <c r="EF57" i="41" s="1"/>
  <c r="DT57" i="41"/>
  <c r="ER57" i="41" s="1"/>
  <c r="DI57" i="41"/>
  <c r="CW57" i="41"/>
  <c r="DU57" i="41" s="1"/>
  <c r="EM56" i="41"/>
  <c r="DT58" i="41" l="1"/>
  <c r="DH58" i="41"/>
  <c r="BO59" i="41"/>
  <c r="CA59" i="41" s="1"/>
  <c r="S59" i="41"/>
  <c r="AE59" i="41"/>
  <c r="AQ59" i="41"/>
  <c r="EK57" i="41"/>
  <c r="AM59" i="41"/>
  <c r="AY59" i="41"/>
  <c r="BW59" i="41"/>
  <c r="CI59" i="41" s="1"/>
  <c r="AA59" i="41"/>
  <c r="DN58" i="41"/>
  <c r="EL58" i="41" s="1"/>
  <c r="DB58" i="41"/>
  <c r="EG57" i="41"/>
  <c r="DV57" i="41"/>
  <c r="DO58" i="41"/>
  <c r="EM58" i="41" s="1"/>
  <c r="DC58" i="41"/>
  <c r="EA58" i="41" s="1"/>
  <c r="CU58" i="41"/>
  <c r="EO57" i="41"/>
  <c r="M60" i="41"/>
  <c r="E60" i="41"/>
  <c r="J60" i="41"/>
  <c r="K60" i="41"/>
  <c r="P60" i="41"/>
  <c r="H60" i="41"/>
  <c r="I60" i="41"/>
  <c r="F60" i="41"/>
  <c r="N60" i="41"/>
  <c r="G60" i="41"/>
  <c r="L60" i="41"/>
  <c r="BC60" i="41"/>
  <c r="O60" i="41"/>
  <c r="BK60" i="41"/>
  <c r="BL60" i="41"/>
  <c r="BG60" i="41"/>
  <c r="BB60" i="41"/>
  <c r="BJ60" i="41"/>
  <c r="BI60" i="41"/>
  <c r="BA60" i="41"/>
  <c r="BH60" i="41"/>
  <c r="BD60" i="41"/>
  <c r="BF60" i="41"/>
  <c r="BE60" i="41"/>
  <c r="DL58" i="41"/>
  <c r="EJ58" i="41" s="1"/>
  <c r="CZ58" i="41"/>
  <c r="DX58" i="41" s="1"/>
  <c r="DW57" i="41"/>
  <c r="DD58" i="41"/>
  <c r="EB58" i="41" s="1"/>
  <c r="DP58" i="41"/>
  <c r="EN58" i="41" s="1"/>
  <c r="CW58" i="41"/>
  <c r="DI58" i="41"/>
  <c r="CO58" i="41"/>
  <c r="AZ59" i="41"/>
  <c r="CV59" i="41" s="1"/>
  <c r="AN59" i="41"/>
  <c r="AB59" i="41"/>
  <c r="BX59" i="41"/>
  <c r="CJ59" i="41" s="1"/>
  <c r="AC59" i="41"/>
  <c r="AO59" i="41"/>
  <c r="Q59" i="41"/>
  <c r="BM59" i="41"/>
  <c r="BY59" i="41" s="1"/>
  <c r="AV59" i="41"/>
  <c r="CR59" i="41" s="1"/>
  <c r="AJ59" i="41"/>
  <c r="X59" i="41"/>
  <c r="BT59" i="41"/>
  <c r="CF59" i="41" s="1"/>
  <c r="DR58" i="41"/>
  <c r="EP58" i="41" s="1"/>
  <c r="DF58" i="41"/>
  <c r="CP58" i="41"/>
  <c r="AW59" i="41"/>
  <c r="CS59" i="41" s="1"/>
  <c r="BU59" i="41"/>
  <c r="CG59" i="41" s="1"/>
  <c r="Y59" i="41"/>
  <c r="AK59" i="41"/>
  <c r="BN59" i="41"/>
  <c r="BZ59" i="41" s="1"/>
  <c r="AD59" i="41"/>
  <c r="AP59" i="41"/>
  <c r="R59" i="41"/>
  <c r="CY58" i="41"/>
  <c r="DW58" i="41" s="1"/>
  <c r="DK58" i="41"/>
  <c r="EI58" i="41" s="1"/>
  <c r="CL58" i="41"/>
  <c r="C62" i="41"/>
  <c r="D61" i="41"/>
  <c r="CK58" i="41"/>
  <c r="DM58" i="41"/>
  <c r="DA58" i="41"/>
  <c r="T59" i="41"/>
  <c r="BP59" i="41"/>
  <c r="CB59" i="41" s="1"/>
  <c r="AF59" i="41"/>
  <c r="AR59" i="41"/>
  <c r="AX59" i="41"/>
  <c r="AL59" i="41"/>
  <c r="Z59" i="41"/>
  <c r="BV59" i="41"/>
  <c r="CH59" i="41" s="1"/>
  <c r="CV58" i="41"/>
  <c r="DE58" i="41"/>
  <c r="EC58" i="41" s="1"/>
  <c r="DQ58" i="41"/>
  <c r="EO58" i="41" s="1"/>
  <c r="DJ58" i="41"/>
  <c r="CX58" i="41"/>
  <c r="DV58" i="41" s="1"/>
  <c r="DG58" i="41"/>
  <c r="EE58" i="41" s="1"/>
  <c r="DS58" i="41"/>
  <c r="EQ58" i="41" s="1"/>
  <c r="EI57" i="41"/>
  <c r="AU59" i="41"/>
  <c r="CQ59" i="41" s="1"/>
  <c r="BS59" i="41"/>
  <c r="CE59" i="41" s="1"/>
  <c r="W59" i="41"/>
  <c r="AI59" i="41"/>
  <c r="V59" i="41"/>
  <c r="BR59" i="41"/>
  <c r="CD59" i="41" s="1"/>
  <c r="AT59" i="41"/>
  <c r="AH59" i="41"/>
  <c r="BQ59" i="41"/>
  <c r="CC59" i="41" s="1"/>
  <c r="U59" i="41"/>
  <c r="AG59" i="41"/>
  <c r="AS59" i="41"/>
  <c r="CT58" i="41"/>
  <c r="DB59" i="41" l="1"/>
  <c r="DN59" i="41"/>
  <c r="CZ59" i="41"/>
  <c r="DL59" i="41"/>
  <c r="DE59" i="41"/>
  <c r="EC59" i="41" s="1"/>
  <c r="DQ59" i="41"/>
  <c r="EO59" i="41" s="1"/>
  <c r="AL60" i="41"/>
  <c r="Z60" i="41"/>
  <c r="AX60" i="41"/>
  <c r="BV60" i="41"/>
  <c r="CH60" i="41" s="1"/>
  <c r="BU60" i="41"/>
  <c r="CG60" i="41" s="1"/>
  <c r="AW60" i="41"/>
  <c r="CS60" i="41" s="1"/>
  <c r="AK60" i="41"/>
  <c r="Y60" i="41"/>
  <c r="DA59" i="41"/>
  <c r="DM59" i="41"/>
  <c r="CT59" i="41"/>
  <c r="L61" i="41"/>
  <c r="O61" i="41"/>
  <c r="G61" i="41"/>
  <c r="N61" i="41"/>
  <c r="M61" i="41"/>
  <c r="H61" i="41"/>
  <c r="J61" i="41"/>
  <c r="K61" i="41"/>
  <c r="I61" i="41"/>
  <c r="F61" i="41"/>
  <c r="E61" i="41"/>
  <c r="P61" i="41"/>
  <c r="BD61" i="41"/>
  <c r="BL61" i="41"/>
  <c r="BE61" i="41"/>
  <c r="BH61" i="41"/>
  <c r="BF61" i="41"/>
  <c r="BA61" i="41"/>
  <c r="BK61" i="41"/>
  <c r="BC61" i="41"/>
  <c r="BB61" i="41"/>
  <c r="BI61" i="41"/>
  <c r="BJ61" i="41"/>
  <c r="BG61" i="41"/>
  <c r="CW59" i="41"/>
  <c r="DI59" i="41"/>
  <c r="DH59" i="41"/>
  <c r="EF59" i="41" s="1"/>
  <c r="DT59" i="41"/>
  <c r="ER59" i="41" s="1"/>
  <c r="AU60" i="41"/>
  <c r="AI60" i="41"/>
  <c r="BS60" i="41"/>
  <c r="CE60" i="41" s="1"/>
  <c r="W60" i="41"/>
  <c r="CY59" i="41"/>
  <c r="DK59" i="41"/>
  <c r="CO59" i="41"/>
  <c r="EH58" i="41"/>
  <c r="DF59" i="41"/>
  <c r="ED59" i="41" s="1"/>
  <c r="DR59" i="41"/>
  <c r="EP59" i="41" s="1"/>
  <c r="CN59" i="41"/>
  <c r="DY58" i="41"/>
  <c r="C63" i="41"/>
  <c r="D63" i="41" s="1"/>
  <c r="D62" i="41"/>
  <c r="EG58" i="41"/>
  <c r="AV60" i="41"/>
  <c r="X60" i="41"/>
  <c r="AJ60" i="41"/>
  <c r="BT60" i="41"/>
  <c r="CF60" i="41" s="1"/>
  <c r="AS60" i="41"/>
  <c r="AG60" i="41"/>
  <c r="BQ60" i="41"/>
  <c r="CC60" i="41" s="1"/>
  <c r="U60" i="41"/>
  <c r="AT60" i="41"/>
  <c r="AH60" i="41"/>
  <c r="V60" i="41"/>
  <c r="BR60" i="41"/>
  <c r="CD60" i="41" s="1"/>
  <c r="DG59" i="41"/>
  <c r="DS59" i="41"/>
  <c r="CM59" i="41"/>
  <c r="EF58" i="41"/>
  <c r="DO59" i="41"/>
  <c r="EM59" i="41" s="1"/>
  <c r="DC59" i="41"/>
  <c r="EA59" i="41" s="1"/>
  <c r="BW60" i="41"/>
  <c r="CI60" i="41" s="1"/>
  <c r="AY60" i="41"/>
  <c r="CU60" i="41" s="1"/>
  <c r="AM60" i="41"/>
  <c r="AA60" i="41"/>
  <c r="AN60" i="41"/>
  <c r="AZ60" i="41"/>
  <c r="CV60" i="41" s="1"/>
  <c r="AB60" i="41"/>
  <c r="BX60" i="41"/>
  <c r="CJ60" i="41" s="1"/>
  <c r="DJ59" i="41"/>
  <c r="EH59" i="41" s="1"/>
  <c r="CX59" i="41"/>
  <c r="DV59" i="41" s="1"/>
  <c r="DD59" i="41"/>
  <c r="EB59" i="41" s="1"/>
  <c r="DP59" i="41"/>
  <c r="EN59" i="41" s="1"/>
  <c r="BN60" i="41"/>
  <c r="BZ60" i="41" s="1"/>
  <c r="R60" i="41"/>
  <c r="AP60" i="41"/>
  <c r="AD60" i="41"/>
  <c r="CP59" i="41"/>
  <c r="EK58" i="41"/>
  <c r="CL59" i="41"/>
  <c r="ED58" i="41"/>
  <c r="CK59" i="41"/>
  <c r="DU58" i="41"/>
  <c r="S60" i="41"/>
  <c r="BO60" i="41"/>
  <c r="CA60" i="41" s="1"/>
  <c r="AE60" i="41"/>
  <c r="AQ60" i="41"/>
  <c r="CM60" i="41" s="1"/>
  <c r="BP60" i="41"/>
  <c r="CB60" i="41" s="1"/>
  <c r="T60" i="41"/>
  <c r="AF60" i="41"/>
  <c r="AR60" i="41"/>
  <c r="CN60" i="41" s="1"/>
  <c r="Q60" i="41"/>
  <c r="BM60" i="41"/>
  <c r="BY60" i="41" s="1"/>
  <c r="AC60" i="41"/>
  <c r="AO60" i="41"/>
  <c r="CK60" i="41" s="1"/>
  <c r="DZ58" i="41"/>
  <c r="CU59" i="41"/>
  <c r="ER58" i="41"/>
  <c r="DC60" i="41" l="1"/>
  <c r="DO60" i="41"/>
  <c r="BR61" i="41"/>
  <c r="CD61" i="41" s="1"/>
  <c r="V61" i="41"/>
  <c r="AH61" i="41"/>
  <c r="AT61" i="41"/>
  <c r="CX60" i="41"/>
  <c r="DJ60" i="41"/>
  <c r="I62" i="41"/>
  <c r="L62" i="41"/>
  <c r="N62" i="41"/>
  <c r="E62" i="41"/>
  <c r="F62" i="41"/>
  <c r="P62" i="41"/>
  <c r="K62" i="41"/>
  <c r="O62" i="41"/>
  <c r="M62" i="41"/>
  <c r="J62" i="41"/>
  <c r="H62" i="41"/>
  <c r="BD62" i="41"/>
  <c r="G62" i="41"/>
  <c r="BH62" i="41"/>
  <c r="BJ62" i="41"/>
  <c r="BE62" i="41"/>
  <c r="BC62" i="41"/>
  <c r="BG62" i="41"/>
  <c r="BF62" i="41"/>
  <c r="BI62" i="41"/>
  <c r="BL62" i="41"/>
  <c r="BB62" i="41"/>
  <c r="BK62" i="41"/>
  <c r="BA62" i="41"/>
  <c r="EI59" i="41"/>
  <c r="EG59" i="41"/>
  <c r="AD61" i="41"/>
  <c r="BN61" i="41"/>
  <c r="BZ61" i="41" s="1"/>
  <c r="AP61" i="41"/>
  <c r="R61" i="41"/>
  <c r="AY61" i="41"/>
  <c r="CU61" i="41" s="1"/>
  <c r="BW61" i="41"/>
  <c r="CI61" i="41" s="1"/>
  <c r="AA61" i="41"/>
  <c r="AM61" i="41"/>
  <c r="DY59" i="41"/>
  <c r="DQ60" i="41"/>
  <c r="EO60" i="41" s="1"/>
  <c r="DE60" i="41"/>
  <c r="EC60" i="41" s="1"/>
  <c r="DX59" i="41"/>
  <c r="CW60" i="41"/>
  <c r="DU60" i="41" s="1"/>
  <c r="DI60" i="41"/>
  <c r="EG60" i="41" s="1"/>
  <c r="DK60" i="41"/>
  <c r="EI60" i="41" s="1"/>
  <c r="CY60" i="41"/>
  <c r="DW60" i="41" s="1"/>
  <c r="DH60" i="41"/>
  <c r="EF60" i="41" s="1"/>
  <c r="DT60" i="41"/>
  <c r="ER60" i="41" s="1"/>
  <c r="EQ59" i="41"/>
  <c r="O63" i="41"/>
  <c r="K63" i="41"/>
  <c r="G63" i="41"/>
  <c r="N63" i="41"/>
  <c r="I63" i="41"/>
  <c r="E63" i="41"/>
  <c r="L63" i="41"/>
  <c r="M63" i="41"/>
  <c r="H63" i="41"/>
  <c r="F63" i="41"/>
  <c r="BL63" i="41"/>
  <c r="J63" i="41"/>
  <c r="P63" i="41"/>
  <c r="BC63" i="41"/>
  <c r="BH63" i="41"/>
  <c r="BF63" i="41"/>
  <c r="BK63" i="41"/>
  <c r="BJ63" i="41"/>
  <c r="BI63" i="41"/>
  <c r="BG63" i="41"/>
  <c r="BD63" i="41"/>
  <c r="BB63" i="41"/>
  <c r="BE63" i="41"/>
  <c r="BA63" i="41"/>
  <c r="DW59" i="41"/>
  <c r="CQ60" i="41"/>
  <c r="DU59" i="41"/>
  <c r="U61" i="41"/>
  <c r="AG61" i="41"/>
  <c r="BQ61" i="41"/>
  <c r="CC61" i="41" s="1"/>
  <c r="AS61" i="41"/>
  <c r="CO61" i="41" s="1"/>
  <c r="AW61" i="41"/>
  <c r="BU61" i="41"/>
  <c r="CG61" i="41" s="1"/>
  <c r="Y61" i="41"/>
  <c r="AK61" i="41"/>
  <c r="AJ61" i="41"/>
  <c r="X61" i="41"/>
  <c r="AV61" i="41"/>
  <c r="CR61" i="41" s="1"/>
  <c r="BT61" i="41"/>
  <c r="CF61" i="41" s="1"/>
  <c r="DR60" i="41"/>
  <c r="DF60" i="41"/>
  <c r="EL59" i="41"/>
  <c r="DN60" i="41"/>
  <c r="EL60" i="41" s="1"/>
  <c r="DB60" i="41"/>
  <c r="DP60" i="41"/>
  <c r="DD60" i="41"/>
  <c r="AO61" i="41"/>
  <c r="CK61" i="41" s="1"/>
  <c r="BM61" i="41"/>
  <c r="BY61" i="41" s="1"/>
  <c r="Q61" i="41"/>
  <c r="AC61" i="41"/>
  <c r="AQ61" i="41"/>
  <c r="CM61" i="41" s="1"/>
  <c r="AE61" i="41"/>
  <c r="BO61" i="41"/>
  <c r="CA61" i="41" s="1"/>
  <c r="S61" i="41"/>
  <c r="EK59" i="41"/>
  <c r="EJ59" i="41"/>
  <c r="DS60" i="41"/>
  <c r="EQ60" i="41" s="1"/>
  <c r="DG60" i="41"/>
  <c r="EE60" i="41" s="1"/>
  <c r="DA60" i="41"/>
  <c r="DY60" i="41" s="1"/>
  <c r="DM60" i="41"/>
  <c r="AR61" i="41"/>
  <c r="AF61" i="41"/>
  <c r="T61" i="41"/>
  <c r="BP61" i="41"/>
  <c r="CB61" i="41" s="1"/>
  <c r="CZ60" i="41"/>
  <c r="DX60" i="41" s="1"/>
  <c r="DL60" i="41"/>
  <c r="EJ60" i="41" s="1"/>
  <c r="CL60" i="41"/>
  <c r="EE59" i="41"/>
  <c r="CP60" i="41"/>
  <c r="CO60" i="41"/>
  <c r="CR60" i="41"/>
  <c r="BX61" i="41"/>
  <c r="CJ61" i="41" s="1"/>
  <c r="AN61" i="41"/>
  <c r="AZ61" i="41"/>
  <c r="AB61" i="41"/>
  <c r="AI61" i="41"/>
  <c r="AU61" i="41"/>
  <c r="W61" i="41"/>
  <c r="BS61" i="41"/>
  <c r="CE61" i="41" s="1"/>
  <c r="AL61" i="41"/>
  <c r="Z61" i="41"/>
  <c r="BV61" i="41"/>
  <c r="CH61" i="41" s="1"/>
  <c r="AX61" i="41"/>
  <c r="CT61" i="41" s="1"/>
  <c r="CT60" i="41"/>
  <c r="DZ59" i="41"/>
  <c r="DC61" i="41" l="1"/>
  <c r="DO61" i="41"/>
  <c r="DD61" i="41"/>
  <c r="EB61" i="41" s="1"/>
  <c r="DP61" i="41"/>
  <c r="EN61" i="41" s="1"/>
  <c r="AE63" i="41"/>
  <c r="S63" i="41"/>
  <c r="AQ63" i="41"/>
  <c r="CM63" i="41" s="1"/>
  <c r="BO63" i="41"/>
  <c r="CA63" i="41" s="1"/>
  <c r="DG61" i="41"/>
  <c r="EE61" i="41" s="1"/>
  <c r="DS61" i="41"/>
  <c r="EQ61" i="41" s="1"/>
  <c r="AM62" i="41"/>
  <c r="AA62" i="41"/>
  <c r="AY62" i="41"/>
  <c r="BW62" i="41"/>
  <c r="CI62" i="41" s="1"/>
  <c r="EH60" i="41"/>
  <c r="DR61" i="41"/>
  <c r="EP61" i="41" s="1"/>
  <c r="DF61" i="41"/>
  <c r="ED61" i="41" s="1"/>
  <c r="DM61" i="41"/>
  <c r="EK61" i="41" s="1"/>
  <c r="DA61" i="41"/>
  <c r="DY61" i="41" s="1"/>
  <c r="AD63" i="41"/>
  <c r="AP63" i="41"/>
  <c r="R63" i="41"/>
  <c r="BN63" i="41"/>
  <c r="BZ63" i="41" s="1"/>
  <c r="BS63" i="41"/>
  <c r="CE63" i="41" s="1"/>
  <c r="W63" i="41"/>
  <c r="AI63" i="41"/>
  <c r="AU63" i="41"/>
  <c r="CQ63" i="41" s="1"/>
  <c r="AF62" i="41"/>
  <c r="BP62" i="41"/>
  <c r="CB62" i="41" s="1"/>
  <c r="AR62" i="41"/>
  <c r="T62" i="41"/>
  <c r="Z62" i="41"/>
  <c r="BV62" i="41"/>
  <c r="CH62" i="41" s="1"/>
  <c r="AX62" i="41"/>
  <c r="AL62" i="41"/>
  <c r="DN61" i="41"/>
  <c r="EL61" i="41" s="1"/>
  <c r="DB61" i="41"/>
  <c r="CQ61" i="41"/>
  <c r="CN61" i="41"/>
  <c r="CY61" i="41"/>
  <c r="DW61" i="41" s="1"/>
  <c r="DK61" i="41"/>
  <c r="EI61" i="41" s="1"/>
  <c r="EN60" i="41"/>
  <c r="ED60" i="41"/>
  <c r="DQ61" i="41"/>
  <c r="EO61" i="41" s="1"/>
  <c r="DE61" i="41"/>
  <c r="AZ63" i="41"/>
  <c r="BX63" i="41"/>
  <c r="CJ63" i="41" s="1"/>
  <c r="AB63" i="41"/>
  <c r="AN63" i="41"/>
  <c r="BP63" i="41"/>
  <c r="CB63" i="41" s="1"/>
  <c r="T63" i="41"/>
  <c r="AF63" i="41"/>
  <c r="AR63" i="41"/>
  <c r="AG63" i="41"/>
  <c r="AS63" i="41"/>
  <c r="CO63" i="41" s="1"/>
  <c r="BQ63" i="41"/>
  <c r="CC63" i="41" s="1"/>
  <c r="U63" i="41"/>
  <c r="AM63" i="41"/>
  <c r="BW63" i="41"/>
  <c r="CI63" i="41" s="1"/>
  <c r="AY63" i="41"/>
  <c r="CU63" i="41" s="1"/>
  <c r="AA63" i="41"/>
  <c r="AH62" i="41"/>
  <c r="BR62" i="41"/>
  <c r="CD62" i="41" s="1"/>
  <c r="AT62" i="41"/>
  <c r="CP62" i="41" s="1"/>
  <c r="V62" i="41"/>
  <c r="AZ62" i="41"/>
  <c r="AN62" i="41"/>
  <c r="AB62" i="41"/>
  <c r="BX62" i="41"/>
  <c r="CJ62" i="41" s="1"/>
  <c r="AV62" i="41"/>
  <c r="AJ62" i="41"/>
  <c r="BT62" i="41"/>
  <c r="CF62" i="41" s="1"/>
  <c r="X62" i="41"/>
  <c r="CP61" i="41"/>
  <c r="EM60" i="41"/>
  <c r="AJ63" i="41"/>
  <c r="BT63" i="41"/>
  <c r="CF63" i="41" s="1"/>
  <c r="AV63" i="41"/>
  <c r="X63" i="41"/>
  <c r="DJ61" i="41"/>
  <c r="EH61" i="41" s="1"/>
  <c r="CX61" i="41"/>
  <c r="AO62" i="41"/>
  <c r="AC62" i="41"/>
  <c r="Q62" i="41"/>
  <c r="BM62" i="41"/>
  <c r="BY62" i="41" s="1"/>
  <c r="CV61" i="41"/>
  <c r="EB60" i="41"/>
  <c r="AO63" i="41"/>
  <c r="CK63" i="41" s="1"/>
  <c r="AC63" i="41"/>
  <c r="Q63" i="41"/>
  <c r="BM63" i="41"/>
  <c r="BY63" i="41" s="1"/>
  <c r="BS62" i="41"/>
  <c r="CE62" i="41" s="1"/>
  <c r="AU62" i="41"/>
  <c r="AI62" i="41"/>
  <c r="W62" i="41"/>
  <c r="DV60" i="41"/>
  <c r="DH61" i="41"/>
  <c r="DT61" i="41"/>
  <c r="ER61" i="41" s="1"/>
  <c r="CZ61" i="41"/>
  <c r="DX61" i="41" s="1"/>
  <c r="DL61" i="41"/>
  <c r="EJ61" i="41" s="1"/>
  <c r="EK60" i="41"/>
  <c r="DI61" i="41"/>
  <c r="EG61" i="41" s="1"/>
  <c r="CW61" i="41"/>
  <c r="DU61" i="41" s="1"/>
  <c r="DZ60" i="41"/>
  <c r="EP60" i="41"/>
  <c r="CS61" i="41"/>
  <c r="AT63" i="41"/>
  <c r="CP63" i="41" s="1"/>
  <c r="BR63" i="41"/>
  <c r="CD63" i="41" s="1"/>
  <c r="V63" i="41"/>
  <c r="AH63" i="41"/>
  <c r="AW63" i="41"/>
  <c r="CS63" i="41" s="1"/>
  <c r="BU63" i="41"/>
  <c r="CG63" i="41" s="1"/>
  <c r="Y63" i="41"/>
  <c r="AK63" i="41"/>
  <c r="AX63" i="41"/>
  <c r="AL63" i="41"/>
  <c r="Z63" i="41"/>
  <c r="BV63" i="41"/>
  <c r="CH63" i="41" s="1"/>
  <c r="CL61" i="41"/>
  <c r="AQ62" i="41"/>
  <c r="CM62" i="41" s="1"/>
  <c r="AE62" i="41"/>
  <c r="S62" i="41"/>
  <c r="BO62" i="41"/>
  <c r="CA62" i="41" s="1"/>
  <c r="Y62" i="41"/>
  <c r="AK62" i="41"/>
  <c r="BU62" i="41"/>
  <c r="CG62" i="41" s="1"/>
  <c r="AW62" i="41"/>
  <c r="AP62" i="41"/>
  <c r="CL62" i="41" s="1"/>
  <c r="BN62" i="41"/>
  <c r="BZ62" i="41" s="1"/>
  <c r="R62" i="41"/>
  <c r="AD62" i="41"/>
  <c r="U62" i="41"/>
  <c r="AS62" i="41"/>
  <c r="AG62" i="41"/>
  <c r="BQ62" i="41"/>
  <c r="CC62" i="41" s="1"/>
  <c r="EA60" i="41"/>
  <c r="DN63" i="41" l="1"/>
  <c r="EL63" i="41" s="1"/>
  <c r="DB63" i="41"/>
  <c r="DZ63" i="41" s="1"/>
  <c r="DC62" i="41"/>
  <c r="DO62" i="41"/>
  <c r="EM62" i="41" s="1"/>
  <c r="DP62" i="41"/>
  <c r="DD62" i="41"/>
  <c r="DC63" i="41"/>
  <c r="EA63" i="41" s="1"/>
  <c r="DO63" i="41"/>
  <c r="EM63" i="41" s="1"/>
  <c r="K34" i="41" s="1"/>
  <c r="CY63" i="41"/>
  <c r="DW63" i="41" s="1"/>
  <c r="DK63" i="41"/>
  <c r="EI63" i="41" s="1"/>
  <c r="CY62" i="41"/>
  <c r="DW62" i="41" s="1"/>
  <c r="DK62" i="41"/>
  <c r="EI62" i="41" s="1"/>
  <c r="CT63" i="41"/>
  <c r="DT63" i="41"/>
  <c r="DH63" i="41"/>
  <c r="EF63" i="41" s="1"/>
  <c r="CK62" i="41"/>
  <c r="CR63" i="41"/>
  <c r="CR62" i="41"/>
  <c r="CV62" i="41"/>
  <c r="DL63" i="41"/>
  <c r="EJ63" i="41" s="1"/>
  <c r="CZ63" i="41"/>
  <c r="CV63" i="41"/>
  <c r="CT62" i="41"/>
  <c r="CN62" i="41"/>
  <c r="DS62" i="41"/>
  <c r="DG62" i="41"/>
  <c r="EM61" i="41"/>
  <c r="DE63" i="41"/>
  <c r="EC63" i="41" s="1"/>
  <c r="DQ63" i="41"/>
  <c r="EO63" i="41" s="1"/>
  <c r="DA63" i="41"/>
  <c r="DY63" i="41" s="1"/>
  <c r="DM63" i="41"/>
  <c r="EK63" i="41" s="1"/>
  <c r="DM62" i="41"/>
  <c r="EK62" i="41" s="1"/>
  <c r="DA62" i="41"/>
  <c r="CS62" i="41"/>
  <c r="CW63" i="41"/>
  <c r="DU63" i="41" s="1"/>
  <c r="DI63" i="41"/>
  <c r="EG63" i="41" s="1"/>
  <c r="DB62" i="41"/>
  <c r="DZ62" i="41" s="1"/>
  <c r="DN62" i="41"/>
  <c r="EL62" i="41" s="1"/>
  <c r="DG63" i="41"/>
  <c r="EE63" i="41" s="1"/>
  <c r="DS63" i="41"/>
  <c r="EQ63" i="41" s="1"/>
  <c r="DJ63" i="41"/>
  <c r="CX63" i="41"/>
  <c r="DE62" i="41"/>
  <c r="EC62" i="41" s="1"/>
  <c r="DQ62" i="41"/>
  <c r="EO62" i="41" s="1"/>
  <c r="DR63" i="41"/>
  <c r="EP63" i="41" s="1"/>
  <c r="DF63" i="41"/>
  <c r="ED63" i="41" s="1"/>
  <c r="CO62" i="41"/>
  <c r="CX62" i="41"/>
  <c r="DV62" i="41" s="1"/>
  <c r="DJ62" i="41"/>
  <c r="EH62" i="41" s="1"/>
  <c r="EF61" i="41"/>
  <c r="CQ62" i="41"/>
  <c r="DI62" i="41"/>
  <c r="EG62" i="41" s="1"/>
  <c r="CW62" i="41"/>
  <c r="DV61" i="41"/>
  <c r="DD63" i="41"/>
  <c r="EB63" i="41" s="1"/>
  <c r="DP63" i="41"/>
  <c r="EN63" i="41" s="1"/>
  <c r="DT62" i="41"/>
  <c r="DH62" i="41"/>
  <c r="CN63" i="41"/>
  <c r="EC61" i="41"/>
  <c r="DZ61" i="41"/>
  <c r="DF62" i="41"/>
  <c r="DR62" i="41"/>
  <c r="EP62" i="41" s="1"/>
  <c r="DL62" i="41"/>
  <c r="EJ62" i="41" s="1"/>
  <c r="CZ62" i="41"/>
  <c r="CL63" i="41"/>
  <c r="CU62" i="41"/>
  <c r="EA61" i="41"/>
  <c r="E34" i="41" l="1"/>
  <c r="M33" i="41"/>
  <c r="L33" i="41"/>
  <c r="ED62" i="41"/>
  <c r="EF62" i="41"/>
  <c r="N33" i="41"/>
  <c r="N28" i="41" s="1"/>
  <c r="N26" i="41" s="1"/>
  <c r="N25" i="41" s="1"/>
  <c r="N23" i="41" s="1"/>
  <c r="DV63" i="41"/>
  <c r="F33" i="41" s="1"/>
  <c r="EE62" i="41"/>
  <c r="O33" i="41" s="1"/>
  <c r="O28" i="41" s="1"/>
  <c r="O26" i="41" s="1"/>
  <c r="O25" i="41" s="1"/>
  <c r="O23" i="41" s="1"/>
  <c r="ER63" i="41"/>
  <c r="G34" i="41"/>
  <c r="EB62" i="41"/>
  <c r="J33" i="41"/>
  <c r="J28" i="41" s="1"/>
  <c r="J26" i="41" s="1"/>
  <c r="J25" i="41" s="1"/>
  <c r="J23" i="41" s="1"/>
  <c r="O34" i="41"/>
  <c r="H34" i="41"/>
  <c r="I34" i="41"/>
  <c r="P33" i="41"/>
  <c r="K33" i="41"/>
  <c r="K28" i="41" s="1"/>
  <c r="K26" i="41" s="1"/>
  <c r="K25" i="41" s="1"/>
  <c r="K23" i="41" s="1"/>
  <c r="EA62" i="41"/>
  <c r="DX62" i="41"/>
  <c r="ER62" i="41"/>
  <c r="DU62" i="41"/>
  <c r="E33" i="41" s="1"/>
  <c r="E28" i="41" s="1"/>
  <c r="E26" i="41" s="1"/>
  <c r="E25" i="41" s="1"/>
  <c r="E23" i="41" s="1"/>
  <c r="N34" i="41"/>
  <c r="EH63" i="41"/>
  <c r="F34" i="41" s="1"/>
  <c r="DY62" i="41"/>
  <c r="I33" i="41" s="1"/>
  <c r="I28" i="41" s="1"/>
  <c r="I26" i="41" s="1"/>
  <c r="I25" i="41" s="1"/>
  <c r="I23" i="41" s="1"/>
  <c r="M34" i="41"/>
  <c r="EQ62" i="41"/>
  <c r="DX63" i="41"/>
  <c r="H33" i="41" s="1"/>
  <c r="H28" i="41" s="1"/>
  <c r="H26" i="41" s="1"/>
  <c r="H25" i="41" s="1"/>
  <c r="H23" i="41" s="1"/>
  <c r="G33" i="41"/>
  <c r="G28" i="41" s="1"/>
  <c r="G26" i="41" s="1"/>
  <c r="G25" i="41" s="1"/>
  <c r="G23" i="41" s="1"/>
  <c r="EN62" i="41"/>
  <c r="L34" i="41" s="1"/>
  <c r="J34" i="41"/>
  <c r="P34" i="41" l="1"/>
  <c r="P28" i="41" s="1"/>
  <c r="P26" i="41" s="1"/>
  <c r="P25" i="41" s="1"/>
  <c r="P23" i="41" s="1"/>
  <c r="M28" i="41"/>
  <c r="M26" i="41" s="1"/>
  <c r="M25" i="41" s="1"/>
  <c r="M23" i="41" s="1"/>
  <c r="L28" i="41"/>
  <c r="L26" i="41" s="1"/>
  <c r="L25" i="41" s="1"/>
  <c r="L23" i="41" s="1"/>
  <c r="F28" i="41"/>
  <c r="F26" i="41" s="1"/>
  <c r="F25" i="41" s="1"/>
  <c r="F23" i="41" s="1"/>
  <c r="Q23" i="41" l="1"/>
  <c r="I21" i="41" l="1"/>
  <c r="I20" i="41" s="1"/>
  <c r="I17" i="41" s="1"/>
  <c r="M21" i="41"/>
  <c r="M20" i="41" s="1"/>
  <c r="M17" i="41" s="1"/>
  <c r="E21" i="41"/>
  <c r="E20" i="41" s="1"/>
  <c r="E17" i="41" s="1"/>
  <c r="J21" i="41"/>
  <c r="J20" i="41" s="1"/>
  <c r="J17" i="41" s="1"/>
  <c r="N21" i="41"/>
  <c r="N20" i="41" s="1"/>
  <c r="N17" i="41" s="1"/>
  <c r="L21" i="41"/>
  <c r="L20" i="41" s="1"/>
  <c r="L17" i="41" s="1"/>
  <c r="P21" i="41"/>
  <c r="P20" i="41" s="1"/>
  <c r="P17" i="41" s="1"/>
  <c r="F21" i="41"/>
  <c r="F20" i="41" s="1"/>
  <c r="F17" i="41" s="1"/>
  <c r="G21" i="41"/>
  <c r="G20" i="41" s="1"/>
  <c r="G17" i="41" s="1"/>
  <c r="H21" i="41"/>
  <c r="H20" i="41" s="1"/>
  <c r="H17" i="41" s="1"/>
  <c r="O21" i="41"/>
  <c r="O20" i="41" s="1"/>
  <c r="O17" i="41" s="1"/>
  <c r="K21" i="41"/>
  <c r="K20" i="41" s="1"/>
  <c r="K17" i="41" s="1"/>
  <c r="Q17" i="41" l="1"/>
  <c r="D50" i="36" l="1"/>
  <c r="Q18" i="41"/>
  <c r="D54" i="36" l="1"/>
  <c r="F50" i="36"/>
  <c r="O84" i="20"/>
  <c r="O86" i="20" s="1"/>
  <c r="D10" i="38" s="1"/>
  <c r="D24" i="38" s="1"/>
  <c r="C10" i="42" s="1"/>
</calcChain>
</file>

<file path=xl/comments1.xml><?xml version="1.0" encoding="utf-8"?>
<comments xmlns="http://schemas.openxmlformats.org/spreadsheetml/2006/main">
  <authors>
    <author>Friedl Decock</author>
  </authors>
  <commentList>
    <comment ref="C14" authorId="0" shapeId="0">
      <text>
        <r>
          <rPr>
            <sz val="9"/>
            <color indexed="81"/>
            <rFont val="Tahoma"/>
            <family val="2"/>
          </rPr>
          <t>Epb-software&gt;resultaten&gt;K-peil</t>
        </r>
      </text>
    </comment>
    <comment ref="C15" authorId="0" shapeId="0">
      <text>
        <r>
          <rPr>
            <sz val="9"/>
            <color indexed="81"/>
            <rFont val="Tahoma"/>
            <family val="2"/>
          </rPr>
          <t>EPB-software&gt;resultaten&gt;K-peil</t>
        </r>
      </text>
    </comment>
    <comment ref="C16" authorId="0" shapeId="0">
      <text>
        <r>
          <rPr>
            <sz val="9"/>
            <color indexed="81"/>
            <rFont val="Tahoma"/>
            <family val="2"/>
          </rPr>
          <t xml:space="preserve">het aantal bedden in de ventilatiezone
In tweepersoonskamers staan er twee bedden, beide worden in rekening gebracht.
</t>
        </r>
      </text>
    </comment>
    <comment ref="C24" authorId="0" shapeId="0">
      <text>
        <r>
          <rPr>
            <sz val="9"/>
            <color indexed="81"/>
            <rFont val="Tahoma"/>
            <family val="2"/>
          </rPr>
          <t xml:space="preserve">EPB-software
</t>
        </r>
      </text>
    </comment>
    <comment ref="C25" authorId="0" shapeId="0">
      <text>
        <r>
          <rPr>
            <sz val="9"/>
            <color indexed="81"/>
            <rFont val="Tahoma"/>
            <family val="2"/>
          </rPr>
          <t xml:space="preserve">waarde bij onstentenis: 12 m³/h/m²
</t>
        </r>
      </text>
    </comment>
    <comment ref="C26" authorId="0" shapeId="0">
      <text>
        <r>
          <rPr>
            <sz val="9"/>
            <color indexed="81"/>
            <rFont val="Tahoma"/>
            <family val="2"/>
          </rPr>
          <t xml:space="preserve">EPB-software&gt; bouwkundige gegevens&gt; energiesector: effectieve thermische capaciteit
laat het vakje leeg indien voor de default-waarde gekozen wordt.
</t>
        </r>
      </text>
    </comment>
    <comment ref="C30" authorId="0" shapeId="0">
      <text>
        <r>
          <rPr>
            <sz val="9"/>
            <color indexed="81"/>
            <rFont val="Tahoma"/>
            <family val="2"/>
          </rPr>
          <t>epb-software
Installatie&gt;subdossier&gt;verwarming en koeling: opwekkingssysteem</t>
        </r>
      </text>
    </comment>
    <comment ref="C31" authorId="0" shapeId="0">
      <text>
        <r>
          <rPr>
            <sz val="9"/>
            <color indexed="81"/>
            <rFont val="Tahoma"/>
            <family val="2"/>
          </rPr>
          <t xml:space="preserve">epb-software
Installatie&gt;subdossier&gt;verwarming en koeling: afgiftekring
</t>
        </r>
      </text>
    </comment>
    <comment ref="C32" authorId="0" shapeId="0">
      <text>
        <r>
          <rPr>
            <sz val="9"/>
            <color indexed="81"/>
            <rFont val="Tahoma"/>
            <family val="2"/>
          </rPr>
          <t>Primaire omzettingsfactor energiebron verwarming
1    : gas
2.5 : elektriciteit</t>
        </r>
      </text>
    </comment>
    <comment ref="C33" authorId="0" shapeId="0">
      <text>
        <r>
          <rPr>
            <sz val="8"/>
            <color indexed="81"/>
            <rFont val="Tahoma"/>
            <family val="2"/>
          </rPr>
          <t>0.5 : automatische regeling op meer dan 75% van de pompen
1    : andere</t>
        </r>
        <r>
          <rPr>
            <b/>
            <sz val="8"/>
            <color indexed="81"/>
            <rFont val="Tahoma"/>
            <family val="2"/>
          </rPr>
          <t xml:space="preserve">
</t>
        </r>
      </text>
    </comment>
    <comment ref="B36" authorId="0" shapeId="0">
      <text>
        <r>
          <rPr>
            <sz val="9"/>
            <color indexed="81"/>
            <rFont val="Tahoma"/>
            <family val="2"/>
          </rPr>
          <t xml:space="preserve">twee berekeningsmethodes voor het sanitair warm water
1. totaal primair energieverbruik voor sanitair warm water ingeven zelf berekend cfr. berekeningsmethode EPW-methode
                   (zie epb-besluit bijlage 1: epb-rekenmethode voor woningen)
                   impact zonnecollectoren ook zelf in rekening te brengen
2. vereenvoudigde methode
    = indien alle leidingen zich binnen het beschermde volume bevinden en de leidingsverliezen voor alle leidingen gelijk zijn (of rekenen met de meest negatieve)
   Geef de volgende gevraagde gegevens in: productie, lengte circulatieleiding, ...
</t>
        </r>
      </text>
    </comment>
    <comment ref="C37" authorId="0" shapeId="0">
      <text>
        <r>
          <rPr>
            <sz val="9"/>
            <color indexed="81"/>
            <rFont val="Tahoma"/>
            <family val="2"/>
          </rPr>
          <t xml:space="preserve">invullen indien uzelf het primair energieverbruik voor sanitair warm water hebt berekend volgens epb-bijlage I
indien u voor de vereenvoudigde berekening kiest,  laat dit vakje leeg
</t>
        </r>
      </text>
    </comment>
    <comment ref="C40" authorId="0" shapeId="0">
      <text>
        <r>
          <rPr>
            <sz val="9"/>
            <color indexed="81"/>
            <rFont val="Tahoma"/>
            <family val="2"/>
          </rPr>
          <t>waarde bij onstentenis: 0.45</t>
        </r>
        <r>
          <rPr>
            <b/>
            <sz val="9"/>
            <color indexed="81"/>
            <rFont val="Tahoma"/>
            <family val="2"/>
          </rPr>
          <t xml:space="preserve">
</t>
        </r>
      </text>
    </comment>
    <comment ref="C41" authorId="0" shapeId="0">
      <text>
        <r>
          <rPr>
            <sz val="9"/>
            <color indexed="81"/>
            <rFont val="Tahoma"/>
            <family val="2"/>
          </rPr>
          <t xml:space="preserve">Geef de volledige lengte van de circulatieleiding en deel dit door het aantal bedden.
</t>
        </r>
      </text>
    </comment>
    <comment ref="C42" authorId="0" shapeId="0">
      <text>
        <r>
          <rPr>
            <sz val="9"/>
            <color indexed="81"/>
            <rFont val="Tahoma"/>
            <family val="2"/>
          </rPr>
          <t xml:space="preserve">3 m = maximum legionella-wetgeving
</t>
        </r>
      </text>
    </comment>
    <comment ref="C43" authorId="0" shapeId="0">
      <text>
        <r>
          <rPr>
            <sz val="9"/>
            <color indexed="81"/>
            <rFont val="Tahoma"/>
            <family val="2"/>
          </rPr>
          <t>Gemiddelde leidingsverliezen
de leidingsverliezen worden bepaald door de isolatiedikte van de circulatieleiding, de ruimte waarin deze zich bevindt (verwarmd/onverwarmd/buiten) en de watertemperatuur.</t>
        </r>
      </text>
    </comment>
    <comment ref="C45" authorId="0" shapeId="0">
      <text>
        <r>
          <rPr>
            <sz val="9"/>
            <color indexed="81"/>
            <rFont val="Tahoma"/>
            <family val="2"/>
          </rPr>
          <t>ingave conform epb
(zuid = 0°)</t>
        </r>
      </text>
    </comment>
    <comment ref="C46" authorId="0" shapeId="0">
      <text>
        <r>
          <rPr>
            <sz val="9"/>
            <color indexed="81"/>
            <rFont val="Tahoma"/>
            <family val="2"/>
          </rPr>
          <t>ingave conform epb
(plat dak = 0°)</t>
        </r>
      </text>
    </comment>
    <comment ref="C48" authorId="0" shapeId="0">
      <text>
        <r>
          <rPr>
            <sz val="9"/>
            <color indexed="81"/>
            <rFont val="Tahoma"/>
            <family val="2"/>
          </rPr>
          <t>C: systeem C
D: systeem D</t>
        </r>
      </text>
    </comment>
    <comment ref="C49" authorId="0" shapeId="0">
      <text>
        <r>
          <rPr>
            <sz val="9"/>
            <color indexed="81"/>
            <rFont val="Tahoma"/>
            <family val="2"/>
          </rPr>
          <t xml:space="preserve">EPB besluit: bijlage 2 (versie 2009: p.25)
</t>
        </r>
        <r>
          <rPr>
            <b/>
            <sz val="9"/>
            <color indexed="81"/>
            <rFont val="Tahoma"/>
            <family val="2"/>
          </rPr>
          <t>een reductiefactor voor verwarming, resp koeling</t>
        </r>
        <r>
          <rPr>
            <sz val="9"/>
            <color indexed="81"/>
            <rFont val="Tahoma"/>
            <family val="2"/>
          </rPr>
          <t>, waarvan de waarde bedraagt:
- 0: indien alleen mechanische extractie plaatsvindt;
- 0.6: indien mechanische pulsie en extractie plaatsvindt;
- 0.8: indien recirculatie of warmteterugwinning plaatsvindt;
- 0.3: indien mechanisch lucht wordt toegevoerd en het vermogen van ventilatoren is bepaald volgens §8.1.3 (forfetair);
- 0.5: overige gevallen.</t>
        </r>
      </text>
    </comment>
    <comment ref="C50" authorId="0" shapeId="0">
      <text>
        <r>
          <rPr>
            <sz val="9"/>
            <color indexed="81"/>
            <rFont val="Tahoma"/>
            <family val="2"/>
          </rPr>
          <t>ingave warmteterugwinningsrendement cfr EPB
vb. 0.80</t>
        </r>
      </text>
    </comment>
    <comment ref="C51" authorId="0" shapeId="0">
      <text>
        <r>
          <rPr>
            <sz val="9"/>
            <color indexed="81"/>
            <rFont val="Tahoma"/>
            <family val="2"/>
          </rPr>
          <t>Verbruik ventilatoren:
1,2,3: SFP-klasse ingeven
0: Indien forfetaire berekening van het ventilatievermogen</t>
        </r>
      </text>
    </comment>
    <comment ref="C52" authorId="0" shapeId="0">
      <text>
        <r>
          <rPr>
            <sz val="9"/>
            <color indexed="81"/>
            <rFont val="Tahoma"/>
            <family val="2"/>
          </rPr>
          <t>Reductiefactor voor de regeling van de ventilatoren:
Tabel 12 p. 45 EPB besluit 2
afhankelijk van het systeem in tabel 8 
- 1 : geen regeling
- 0.65: toerentalregeling</t>
        </r>
      </text>
    </comment>
    <comment ref="C55" authorId="0" shapeId="0">
      <text>
        <r>
          <rPr>
            <sz val="9"/>
            <color indexed="81"/>
            <rFont val="Tahoma"/>
            <family val="2"/>
          </rPr>
          <t>Het minimum ventilatiedebiet nodig om aan de epb-regelgeving te voldoen.</t>
        </r>
      </text>
    </comment>
    <comment ref="C56" authorId="0" shapeId="0">
      <text>
        <r>
          <rPr>
            <sz val="9"/>
            <color indexed="81"/>
            <rFont val="Tahoma"/>
            <family val="2"/>
          </rPr>
          <t>0 = indien geen piekventilatie mogelijk is
maximaal mogelijke debiet 
piekventilatiedebiet = totaal debiet mogelijk in de zomer aan de hand van de ventilatie-installatie
(het natuurlijk ventilatie-debiet niet ingeven)
De installatie moet over een terugregelvoorziening beschikken om het debiet in de winter te beperken. Indien dit niet het geval is, zijn het ontwerpdebiet en het piekventilatiedebiet gelijk.</t>
        </r>
      </text>
    </comment>
    <comment ref="C57" authorId="0" shapeId="0">
      <text>
        <r>
          <rPr>
            <sz val="9"/>
            <color indexed="81"/>
            <rFont val="Tahoma"/>
            <family val="2"/>
          </rPr>
          <t xml:space="preserve">epb-software&gt;installaties&gt;bevochtigingstoestellen: warmteleverancier
vb.
0 : geen bevochtiging
1 : stoombevochtiging met elektrische weerstandsverwarming
zie 10.2.3 bijlage I epb
</t>
        </r>
      </text>
    </comment>
    <comment ref="C58" authorId="0" shapeId="0">
      <text>
        <r>
          <rPr>
            <sz val="9"/>
            <color indexed="81"/>
            <rFont val="Tahoma"/>
            <family val="2"/>
          </rPr>
          <t>0 : geen vochtrecuperatie  (warmtewisselaar)
1 : vochtrecuperatie (enthalpiewisselaar: cfr sommige warmtewielen)</t>
        </r>
      </text>
    </comment>
    <comment ref="C59" authorId="0" shapeId="0">
      <text>
        <r>
          <rPr>
            <sz val="9"/>
            <color indexed="81"/>
            <rFont val="Tahoma"/>
            <family val="2"/>
          </rPr>
          <t>Primaire omzettingsfactor energiebron bevochtiging
1    : gas
2.5 : elektriciteit</t>
        </r>
      </text>
    </comment>
    <comment ref="C62" authorId="0" shapeId="0">
      <text>
        <r>
          <rPr>
            <sz val="9"/>
            <color indexed="81"/>
            <rFont val="Tahoma"/>
            <family val="2"/>
          </rPr>
          <t xml:space="preserve">zelf berekenen
</t>
        </r>
      </text>
    </comment>
    <comment ref="C68" authorId="0" shapeId="0">
      <text>
        <r>
          <rPr>
            <sz val="9"/>
            <color indexed="81"/>
            <rFont val="Tahoma"/>
            <family val="2"/>
          </rPr>
          <t xml:space="preserve">Te halen uit epb-software
500%: geen actieve koeling
</t>
        </r>
      </text>
    </comment>
    <comment ref="C69" authorId="0" shapeId="0">
      <text>
        <r>
          <rPr>
            <sz val="9"/>
            <color indexed="81"/>
            <rFont val="Tahoma"/>
            <family val="2"/>
          </rPr>
          <t>Te halen uit epb-software
100%: geen actieve koeling</t>
        </r>
      </text>
    </comment>
    <comment ref="C70" authorId="0" shapeId="0">
      <text>
        <r>
          <rPr>
            <sz val="9"/>
            <color indexed="81"/>
            <rFont val="Tahoma"/>
            <family val="2"/>
          </rPr>
          <t xml:space="preserve">0:    geen actieve koeling
1:    gas
2.5: elektriciteit
Bij energiesectoren zonder koeling wordt een fictieve koellast in rekening gebracht om sterk beglaasde gebouwen af te straffen op een correcte manier.
  </t>
        </r>
      </text>
    </comment>
    <comment ref="C71" authorId="0" shapeId="0">
      <text>
        <r>
          <rPr>
            <sz val="8"/>
            <color indexed="81"/>
            <rFont val="Tahoma"/>
            <family val="2"/>
          </rPr>
          <t>0: geen koeling
0.5: automatische regeling op meer dan 75% van de pompen
1: andere</t>
        </r>
      </text>
    </comment>
    <comment ref="C73" authorId="0" shapeId="0">
      <text>
        <r>
          <rPr>
            <sz val="9"/>
            <color indexed="81"/>
            <rFont val="Tahoma"/>
            <family val="2"/>
          </rPr>
          <t xml:space="preserve">EPB-software&gt;resultaten: primaire energie-opwekking PV-panelen
</t>
        </r>
      </text>
    </comment>
  </commentList>
</comments>
</file>

<file path=xl/comments2.xml><?xml version="1.0" encoding="utf-8"?>
<comments xmlns="http://schemas.openxmlformats.org/spreadsheetml/2006/main">
  <authors>
    <author>Friedl Decock</author>
  </authors>
  <commentList>
    <comment ref="D20" authorId="0" shapeId="0">
      <text>
        <r>
          <rPr>
            <sz val="8"/>
            <color indexed="81"/>
            <rFont val="Tahoma"/>
            <family val="2"/>
          </rPr>
          <t>1: indien NIET voorverwarmd met afvalwater
0: indien volledig voorverwarmd met afvalwater</t>
        </r>
      </text>
    </comment>
  </commentList>
</comments>
</file>

<file path=xl/sharedStrings.xml><?xml version="1.0" encoding="utf-8"?>
<sst xmlns="http://schemas.openxmlformats.org/spreadsheetml/2006/main" count="748" uniqueCount="499">
  <si>
    <t>MJ</t>
  </si>
  <si>
    <t>weegfactor</t>
  </si>
  <si>
    <t>kamers</t>
  </si>
  <si>
    <t>jan</t>
  </si>
  <si>
    <t>feb</t>
  </si>
  <si>
    <t>mar</t>
  </si>
  <si>
    <t>apr</t>
  </si>
  <si>
    <t>mei</t>
  </si>
  <si>
    <t>jun</t>
  </si>
  <si>
    <t>jul</t>
  </si>
  <si>
    <t>aug</t>
  </si>
  <si>
    <t>sep</t>
  </si>
  <si>
    <t>okt</t>
  </si>
  <si>
    <t>nov</t>
  </si>
  <si>
    <t>dec</t>
  </si>
  <si>
    <t>totaal</t>
  </si>
  <si>
    <t>transmissieverliezen</t>
  </si>
  <si>
    <t>ventilatieverliezen</t>
  </si>
  <si>
    <t>interne winsten</t>
  </si>
  <si>
    <t>zonnewinsten</t>
  </si>
  <si>
    <t>benuttingsfactor</t>
  </si>
  <si>
    <t>netto behoefte</t>
  </si>
  <si>
    <t>systeemrendement</t>
  </si>
  <si>
    <t>bruto energiebehoefte</t>
  </si>
  <si>
    <t>opwekkingsrendement</t>
  </si>
  <si>
    <t>eindenergieverbruik</t>
  </si>
  <si>
    <t>EPB</t>
  </si>
  <si>
    <t>EPU</t>
  </si>
  <si>
    <t>correctiefactor aandeel latente koellast</t>
  </si>
  <si>
    <t>τcool, seci,m</t>
  </si>
  <si>
    <t>b</t>
  </si>
  <si>
    <t>Constanten</t>
  </si>
  <si>
    <r>
      <t>b</t>
    </r>
    <r>
      <rPr>
        <b/>
        <vertAlign val="subscript"/>
        <sz val="10"/>
        <rFont val="Book Antiqua"/>
        <family val="1"/>
      </rPr>
      <t xml:space="preserve">0,cool </t>
    </r>
    <r>
      <rPr>
        <b/>
        <sz val="10"/>
        <rFont val="Book Antiqua"/>
        <family val="1"/>
      </rPr>
      <t>(-)</t>
    </r>
  </si>
  <si>
    <r>
      <t>τ</t>
    </r>
    <r>
      <rPr>
        <b/>
        <vertAlign val="subscript"/>
        <sz val="10"/>
        <rFont val="Book Antiqua"/>
        <family val="1"/>
      </rPr>
      <t>0,cool</t>
    </r>
  </si>
  <si>
    <t>Gebruiksfunctie gebouw</t>
  </si>
  <si>
    <t>NEN</t>
  </si>
  <si>
    <t>Woningen</t>
  </si>
  <si>
    <t>54 000 s</t>
  </si>
  <si>
    <t>(15 h)</t>
  </si>
  <si>
    <t>57 600 s</t>
  </si>
  <si>
    <t>(16 h)</t>
  </si>
  <si>
    <t>Kantoor – en schoolgebouwen</t>
  </si>
  <si>
    <t>77 h</t>
  </si>
  <si>
    <t>276 923 s</t>
  </si>
  <si>
    <t>celfunctie en cellengebouw</t>
  </si>
  <si>
    <t>gezondheidszorgfunctie (niet-klinisch)</t>
  </si>
  <si>
    <t>logiesgebouw</t>
  </si>
  <si>
    <t>winkelfunctie</t>
  </si>
  <si>
    <t>gezondheidszorg (klinisch) (nachtverblijf)</t>
  </si>
  <si>
    <t>200 000 s</t>
  </si>
  <si>
    <t>bijeenkomstfunctie</t>
  </si>
  <si>
    <t>sportfunctie</t>
  </si>
  <si>
    <t>66.6 h</t>
  </si>
  <si>
    <t>240 000 s</t>
  </si>
  <si>
    <t>ISO 13790</t>
  </si>
  <si>
    <t>15 h</t>
  </si>
  <si>
    <t>b0</t>
  </si>
  <si>
    <t>T0</t>
  </si>
  <si>
    <t>s</t>
  </si>
  <si>
    <t>h</t>
  </si>
  <si>
    <t>effectieve th. Capaciteit C</t>
  </si>
  <si>
    <t>kJ/K</t>
  </si>
  <si>
    <t>Vin/exilt,cool,seci</t>
  </si>
  <si>
    <t>rpreh,cool,seci</t>
  </si>
  <si>
    <t>AT,E,seci</t>
  </si>
  <si>
    <t>m²</t>
  </si>
  <si>
    <t>Interne warmtewinsten</t>
  </si>
  <si>
    <t>W/m²</t>
  </si>
  <si>
    <t>-</t>
  </si>
  <si>
    <t>m³/h</t>
  </si>
  <si>
    <t>HT</t>
  </si>
  <si>
    <t>W/K</t>
  </si>
  <si>
    <t>tm</t>
  </si>
  <si>
    <t>θ</t>
  </si>
  <si>
    <t>acool</t>
  </si>
  <si>
    <t>fannih</t>
  </si>
  <si>
    <t>fcool,net</t>
  </si>
  <si>
    <t>fheat,pref</t>
  </si>
  <si>
    <t>deellastfactor</t>
  </si>
  <si>
    <t>EER</t>
  </si>
  <si>
    <t>qr,elektr</t>
  </si>
  <si>
    <t>bedrijfstijd koeling</t>
  </si>
  <si>
    <t>tabel 29: indien luchtgekoeld 0</t>
  </si>
  <si>
    <t>systeem 3</t>
  </si>
  <si>
    <t>bezettingsgraad</t>
  </si>
  <si>
    <t>speelt niet mee</t>
  </si>
  <si>
    <t>verlichting</t>
  </si>
  <si>
    <t>ventilatie</t>
  </si>
  <si>
    <t>W/kamer</t>
  </si>
  <si>
    <t>W</t>
  </si>
  <si>
    <t>Bruto energieverbruik</t>
  </si>
  <si>
    <t>leefruimtes</t>
  </si>
  <si>
    <t>personen</t>
  </si>
  <si>
    <t>apparaten</t>
  </si>
  <si>
    <t>(150W.9h+150W/4.15h)/24h</t>
  </si>
  <si>
    <t>interne winsten ventilatie</t>
  </si>
  <si>
    <t xml:space="preserve">apparaten </t>
  </si>
  <si>
    <t>kamer</t>
  </si>
  <si>
    <t>2 W/m².0.5</t>
  </si>
  <si>
    <t>kWh</t>
  </si>
  <si>
    <t>overdag 1.5 pers op een kamer over 0.5% van de tijd</t>
  </si>
  <si>
    <t>zie Ugent</t>
  </si>
  <si>
    <r>
      <t>r</t>
    </r>
    <r>
      <rPr>
        <vertAlign val="subscript"/>
        <sz val="10"/>
        <rFont val="Arial"/>
        <family val="2"/>
      </rPr>
      <t>fans,cool,seci </t>
    </r>
  </si>
  <si>
    <t>(80W.12h+100W.12h.0.5.1.5)/24h</t>
  </si>
  <si>
    <t>Verwarming</t>
  </si>
  <si>
    <t>Koeling</t>
  </si>
  <si>
    <t>Algemeen</t>
  </si>
  <si>
    <t>Ventilatie</t>
  </si>
  <si>
    <t>m³</t>
  </si>
  <si>
    <t>m</t>
  </si>
  <si>
    <t>mechanisch</t>
  </si>
  <si>
    <t>NEB</t>
  </si>
  <si>
    <t>BEB</t>
  </si>
  <si>
    <t>Eindenergieverbruik</t>
  </si>
  <si>
    <t>primaire factor</t>
  </si>
  <si>
    <t>Primair energieverbruik</t>
  </si>
  <si>
    <t>Tussenresultaten</t>
  </si>
  <si>
    <t>a</t>
  </si>
  <si>
    <t>a,0, heat</t>
  </si>
  <si>
    <t>theta,0, heat</t>
  </si>
  <si>
    <t>theta</t>
  </si>
  <si>
    <t>Cseci</t>
  </si>
  <si>
    <t>HV, heat</t>
  </si>
  <si>
    <t>mrt</t>
  </si>
  <si>
    <t>Ms</t>
  </si>
  <si>
    <t>°C</t>
  </si>
  <si>
    <t>Installatie verwarming</t>
  </si>
  <si>
    <t>Netto energiebehoefte balans</t>
  </si>
  <si>
    <t>transmissieverliezen, verw, RVT</t>
  </si>
  <si>
    <t>WW, aangepast</t>
  </si>
  <si>
    <t>Qg, heat</t>
  </si>
  <si>
    <t>QL, heat</t>
  </si>
  <si>
    <t>gamma, heat</t>
  </si>
  <si>
    <t>benuttingsfactor, heat</t>
  </si>
  <si>
    <t>NEB/BEB/PEP verwarming</t>
  </si>
  <si>
    <t>Benuttingsfactor verwarming</t>
  </si>
  <si>
    <t>Infiltratieverliezen</t>
  </si>
  <si>
    <t>m³/(hm²)</t>
  </si>
  <si>
    <t>m²/h</t>
  </si>
  <si>
    <t>Ventilatieverliezen</t>
  </si>
  <si>
    <t>Kamers en leefruimte</t>
  </si>
  <si>
    <t>rpreh,heat,seci</t>
  </si>
  <si>
    <t xml:space="preserve">afvoer mechanisch </t>
  </si>
  <si>
    <t>W/k</t>
  </si>
  <si>
    <t>Elektriciteitsverbruik ventilatoren</t>
  </si>
  <si>
    <t>parameters berekening forfaitair</t>
  </si>
  <si>
    <t>parameters berekening geïnstalleerde vermogens</t>
  </si>
  <si>
    <t>maa</t>
  </si>
  <si>
    <t>tijdsfractie ventilatie verwarming</t>
  </si>
  <si>
    <t>tijdsfractie ventilatie koeling</t>
  </si>
  <si>
    <t>tijdsfractie ventilatoren</t>
  </si>
  <si>
    <t>terugregeling ventilatie winter</t>
  </si>
  <si>
    <r>
      <t>v</t>
    </r>
    <r>
      <rPr>
        <vertAlign val="subscript"/>
        <sz val="10"/>
        <rFont val="Arial"/>
        <family val="2"/>
      </rPr>
      <t>50</t>
    </r>
  </si>
  <si>
    <r>
      <t>V</t>
    </r>
    <r>
      <rPr>
        <vertAlign val="subscript"/>
        <sz val="10"/>
        <rFont val="Arial"/>
        <family val="2"/>
      </rPr>
      <t>inf/exfilt,heat,sec,i</t>
    </r>
  </si>
  <si>
    <r>
      <t>V</t>
    </r>
    <r>
      <rPr>
        <vertAlign val="subscript"/>
        <sz val="10"/>
        <rFont val="Arial"/>
        <family val="2"/>
      </rPr>
      <t>inf/exfilt,cool,sec,i</t>
    </r>
  </si>
  <si>
    <r>
      <t>V</t>
    </r>
    <r>
      <rPr>
        <vertAlign val="subscript"/>
        <sz val="10"/>
        <rFont val="Arial"/>
        <family val="2"/>
      </rPr>
      <t>supply,sec,i</t>
    </r>
  </si>
  <si>
    <r>
      <t>V</t>
    </r>
    <r>
      <rPr>
        <vertAlign val="subscript"/>
        <sz val="10"/>
        <rFont val="Arial"/>
        <family val="2"/>
      </rPr>
      <t>supp,heat</t>
    </r>
  </si>
  <si>
    <r>
      <t>V</t>
    </r>
    <r>
      <rPr>
        <vertAlign val="subscript"/>
        <sz val="10"/>
        <rFont val="Arial"/>
        <family val="2"/>
      </rPr>
      <t>supp,cool</t>
    </r>
  </si>
  <si>
    <r>
      <t>H</t>
    </r>
    <r>
      <rPr>
        <vertAlign val="subscript"/>
        <sz val="10"/>
        <rFont val="Arial"/>
        <family val="2"/>
      </rPr>
      <t>v,heat,sec,i</t>
    </r>
  </si>
  <si>
    <r>
      <t>H</t>
    </r>
    <r>
      <rPr>
        <vertAlign val="subscript"/>
        <sz val="10"/>
        <rFont val="Arial"/>
        <family val="2"/>
      </rPr>
      <t>v,cool,sec,i</t>
    </r>
  </si>
  <si>
    <r>
      <t>c</t>
    </r>
    <r>
      <rPr>
        <vertAlign val="subscript"/>
        <sz val="10"/>
        <rFont val="Arial"/>
        <family val="2"/>
      </rPr>
      <t>sys</t>
    </r>
  </si>
  <si>
    <r>
      <t>P</t>
    </r>
    <r>
      <rPr>
        <vertAlign val="subscript"/>
        <sz val="10"/>
        <rFont val="Arial"/>
        <family val="2"/>
      </rPr>
      <t>def,seci</t>
    </r>
  </si>
  <si>
    <r>
      <t>f</t>
    </r>
    <r>
      <rPr>
        <vertAlign val="subscript"/>
        <sz val="10"/>
        <rFont val="Arial"/>
        <family val="2"/>
      </rPr>
      <t>ctrl,j</t>
    </r>
  </si>
  <si>
    <r>
      <t>P</t>
    </r>
    <r>
      <rPr>
        <vertAlign val="subscript"/>
        <sz val="10"/>
        <rFont val="Arial"/>
        <family val="2"/>
      </rPr>
      <t>instal,j</t>
    </r>
  </si>
  <si>
    <r>
      <t>V</t>
    </r>
    <r>
      <rPr>
        <vertAlign val="subscript"/>
        <sz val="10"/>
        <rFont val="Arial"/>
        <family val="2"/>
      </rPr>
      <t>seci,j</t>
    </r>
  </si>
  <si>
    <r>
      <t>V</t>
    </r>
    <r>
      <rPr>
        <vertAlign val="subscript"/>
        <sz val="10"/>
        <rFont val="Arial"/>
        <family val="2"/>
      </rPr>
      <t>j</t>
    </r>
  </si>
  <si>
    <r>
      <t>t</t>
    </r>
    <r>
      <rPr>
        <vertAlign val="subscript"/>
        <sz val="10"/>
        <rFont val="Arial"/>
        <family val="2"/>
      </rPr>
      <t>i</t>
    </r>
  </si>
  <si>
    <r>
      <t>f</t>
    </r>
    <r>
      <rPr>
        <vertAlign val="subscript"/>
        <sz val="10"/>
        <rFont val="Arial"/>
        <family val="2"/>
      </rPr>
      <t>vent,heat</t>
    </r>
  </si>
  <si>
    <r>
      <t>f</t>
    </r>
    <r>
      <rPr>
        <vertAlign val="subscript"/>
        <sz val="10"/>
        <rFont val="Arial"/>
        <family val="2"/>
      </rPr>
      <t>vent,cool</t>
    </r>
  </si>
  <si>
    <r>
      <t>f</t>
    </r>
    <r>
      <rPr>
        <vertAlign val="subscript"/>
        <sz val="10"/>
        <rFont val="Arial"/>
        <family val="2"/>
      </rPr>
      <t>fans,seci,m</t>
    </r>
  </si>
  <si>
    <r>
      <t>f</t>
    </r>
    <r>
      <rPr>
        <vertAlign val="subscript"/>
        <sz val="10"/>
        <rFont val="Arial"/>
        <family val="2"/>
      </rPr>
      <t>regel</t>
    </r>
  </si>
  <si>
    <t>ventilatieverliezen, verw, RVT</t>
  </si>
  <si>
    <t>HT, koeling</t>
  </si>
  <si>
    <t>Ht, verwarming</t>
  </si>
  <si>
    <t xml:space="preserve">natuurlijk </t>
  </si>
  <si>
    <r>
      <t>t</t>
    </r>
    <r>
      <rPr>
        <vertAlign val="subscript"/>
        <sz val="10"/>
        <rFont val="Arial"/>
        <family val="2"/>
      </rPr>
      <t>i, RVT, verwarming</t>
    </r>
  </si>
  <si>
    <r>
      <t>t</t>
    </r>
    <r>
      <rPr>
        <vertAlign val="subscript"/>
        <sz val="10"/>
        <rFont val="Arial"/>
        <family val="2"/>
      </rPr>
      <t>i, RVT, koeling</t>
    </r>
  </si>
  <si>
    <r>
      <t>θ</t>
    </r>
    <r>
      <rPr>
        <vertAlign val="subscript"/>
        <sz val="10"/>
        <rFont val="Arial"/>
        <family val="2"/>
      </rPr>
      <t>e,v,koeling</t>
    </r>
  </si>
  <si>
    <t>Ventilatoren</t>
  </si>
  <si>
    <t>koeling</t>
  </si>
  <si>
    <t>Verlichting</t>
  </si>
  <si>
    <t>Referentie</t>
  </si>
  <si>
    <t>B1</t>
  </si>
  <si>
    <t>B2</t>
  </si>
  <si>
    <t>B3</t>
  </si>
  <si>
    <t>B4</t>
  </si>
  <si>
    <t>B5</t>
  </si>
  <si>
    <t>Hulpenergieverbruik</t>
  </si>
  <si>
    <t>fctrl,heat</t>
  </si>
  <si>
    <t>fctrl,cool</t>
  </si>
  <si>
    <t>Pompen</t>
  </si>
  <si>
    <t>75% pompen automatische regeling</t>
  </si>
  <si>
    <t>geen koeling</t>
  </si>
  <si>
    <t>koeling/verwarming</t>
  </si>
  <si>
    <t>verwarming</t>
  </si>
  <si>
    <t>zie verlichting</t>
  </si>
  <si>
    <t>uur</t>
  </si>
  <si>
    <t>primair</t>
  </si>
  <si>
    <t>Primair</t>
  </si>
  <si>
    <t>TOTAAL</t>
  </si>
  <si>
    <t>l/dag</t>
  </si>
  <si>
    <t>Qbruto</t>
  </si>
  <si>
    <t>Qprim</t>
  </si>
  <si>
    <t>overdebiet</t>
  </si>
  <si>
    <t>patientenkamer</t>
  </si>
  <si>
    <t>polyvalenteruimte</t>
  </si>
  <si>
    <t>m²/persoon</t>
  </si>
  <si>
    <t>ventilatievouden per kamer of per zone van alle kamers</t>
  </si>
  <si>
    <t>Gegevens om minimale ventilatiedebieten te berekenen</t>
  </si>
  <si>
    <t>Bezetting</t>
  </si>
  <si>
    <t>verpleeglokalen, kine, kantoren</t>
  </si>
  <si>
    <t>100W.A/4.0.5</t>
  </si>
  <si>
    <t>kantoren,…</t>
  </si>
  <si>
    <t>andere (circulatie, berging,…)</t>
  </si>
  <si>
    <t>zie ventilatie</t>
  </si>
  <si>
    <t>geen automatische regeling op 75% vd pompen</t>
  </si>
  <si>
    <t xml:space="preserve">Primair </t>
  </si>
  <si>
    <t>ventilatoren+pompen</t>
  </si>
  <si>
    <t>Sanitair Warm Water</t>
  </si>
  <si>
    <t>primair energieverbruik</t>
  </si>
  <si>
    <t>Globaal E-peil</t>
  </si>
  <si>
    <t>B'1</t>
  </si>
  <si>
    <t>B'2</t>
  </si>
  <si>
    <t>B'3</t>
  </si>
  <si>
    <t>B'4</t>
  </si>
  <si>
    <t>B'5</t>
  </si>
  <si>
    <t>B'6</t>
  </si>
  <si>
    <t>Referentie-energieverbruik</t>
  </si>
  <si>
    <t>verliesopp AT</t>
  </si>
  <si>
    <t>vloeropp Af</t>
  </si>
  <si>
    <t>min toevoerventilatiedebiet</t>
  </si>
  <si>
    <t>ontwerp toevoerventilatiedebiet</t>
  </si>
  <si>
    <t>mechanische pulsie, W forfetair</t>
  </si>
  <si>
    <t>enkel mech extractie</t>
  </si>
  <si>
    <t>mech. Pulsie + extractie</t>
  </si>
  <si>
    <t>recirculatie of wtw</t>
  </si>
  <si>
    <t>overige</t>
  </si>
  <si>
    <t>p.23 bijlage II</t>
  </si>
  <si>
    <t>EPB besluit</t>
  </si>
  <si>
    <t>W/(m³/s)</t>
  </si>
  <si>
    <t>W/(m³/h)</t>
  </si>
  <si>
    <t>ofwel parameters invullen in forfetair ofwel in geinstalleerd, anders enkel geinstalleerd berekend</t>
  </si>
  <si>
    <t>(0.85 met koeling, 0.55 zonder koeling)</t>
  </si>
  <si>
    <t>overnemen uit EPU</t>
  </si>
  <si>
    <t>rpreh</t>
  </si>
  <si>
    <t>e</t>
  </si>
  <si>
    <t>rendement</t>
  </si>
  <si>
    <t>rp</t>
  </si>
  <si>
    <t>(continue meting debiet: 0.95, anders 0.85)</t>
  </si>
  <si>
    <t>D</t>
  </si>
  <si>
    <t>(EPU 1 indien geen actieve koeling, 1.5 bij actieve koeling)</t>
  </si>
  <si>
    <t>systeemrendement EPU</t>
  </si>
  <si>
    <t>(som supply en extract)</t>
  </si>
  <si>
    <t>n50</t>
  </si>
  <si>
    <t>v50</t>
  </si>
  <si>
    <t>MJ/kamer</t>
  </si>
  <si>
    <t>W/m</t>
  </si>
  <si>
    <t>Vul epb-bestand in (bestemming: kantoor)</t>
  </si>
  <si>
    <t>verwarmen en koelen: 0.4, enkel verwarmen 0</t>
  </si>
  <si>
    <t>zie tabellen Duitse norm afh van type koelmachine</t>
  </si>
  <si>
    <t>warmtepomp in zomerbedrijf: 5, geen koeling : 5</t>
  </si>
  <si>
    <t>uit rekenblad VEA: condensatieketel + warmtepomp</t>
  </si>
  <si>
    <t>rekenblad VEA WP</t>
  </si>
  <si>
    <t>1: geen automatische regeling op pompen</t>
  </si>
  <si>
    <t>niet voor menselijke bezetting</t>
  </si>
  <si>
    <t>m³/h.m²</t>
  </si>
  <si>
    <t>behoefte</t>
  </si>
  <si>
    <t>aantal bedden</t>
  </si>
  <si>
    <t>behoefte/kamer</t>
  </si>
  <si>
    <t>aantal dagen/jaar</t>
  </si>
  <si>
    <t>l/jaar</t>
  </si>
  <si>
    <t>volume</t>
  </si>
  <si>
    <t>m³/jaar</t>
  </si>
  <si>
    <t>ρ</t>
  </si>
  <si>
    <t>kg/m³</t>
  </si>
  <si>
    <t>cp</t>
  </si>
  <si>
    <t>J/kgK</t>
  </si>
  <si>
    <t>ΔT</t>
  </si>
  <si>
    <t>Qnet (behoefte)</t>
  </si>
  <si>
    <t>MJ/jaar</t>
  </si>
  <si>
    <t>kWh/jaar</t>
  </si>
  <si>
    <t>lengte circulatieleiding</t>
  </si>
  <si>
    <t>m/bed</t>
  </si>
  <si>
    <t>leidingsverliezen</t>
  </si>
  <si>
    <t>distributieverliezen</t>
  </si>
  <si>
    <t>rendement (opw + opslag)</t>
  </si>
  <si>
    <t>(verbrandingstoestel met warmte-opslag)</t>
  </si>
  <si>
    <t>verbruik</t>
  </si>
  <si>
    <t>primair omzettingsfactor</t>
  </si>
  <si>
    <t>referentie verbruik</t>
  </si>
  <si>
    <t>Berekening warm tapwater</t>
  </si>
  <si>
    <t>plaats leiding</t>
  </si>
  <si>
    <t>binnendiameter Di</t>
  </si>
  <si>
    <t>isolatiedikte</t>
  </si>
  <si>
    <t>W/mK</t>
  </si>
  <si>
    <t>Tw</t>
  </si>
  <si>
    <t>W/m²K</t>
  </si>
  <si>
    <r>
      <t>h</t>
    </r>
    <r>
      <rPr>
        <vertAlign val="subscript"/>
        <sz val="10"/>
        <rFont val="Arial"/>
        <family val="2"/>
      </rPr>
      <t>se</t>
    </r>
  </si>
  <si>
    <r>
      <t>λ</t>
    </r>
    <r>
      <rPr>
        <vertAlign val="subscript"/>
        <sz val="10"/>
        <rFont val="Arial"/>
        <family val="2"/>
      </rPr>
      <t>ins</t>
    </r>
  </si>
  <si>
    <t>Rl,j</t>
  </si>
  <si>
    <t>mk/W</t>
  </si>
  <si>
    <r>
      <t>η</t>
    </r>
    <r>
      <rPr>
        <vertAlign val="subscript"/>
        <sz val="11"/>
        <color indexed="8"/>
        <rFont val="Calibri"/>
        <family val="2"/>
      </rPr>
      <t>sys, bath</t>
    </r>
    <r>
      <rPr>
        <sz val="11"/>
        <color indexed="8"/>
        <rFont val="Calibri"/>
        <family val="2"/>
      </rPr>
      <t>=η</t>
    </r>
    <r>
      <rPr>
        <vertAlign val="subscript"/>
        <sz val="11"/>
        <color indexed="8"/>
        <rFont val="Calibri"/>
        <family val="2"/>
      </rPr>
      <t>tubing, bath</t>
    </r>
    <r>
      <rPr>
        <sz val="11"/>
        <color indexed="8"/>
        <rFont val="Calibri"/>
        <family val="2"/>
      </rPr>
      <t>*η</t>
    </r>
    <r>
      <rPr>
        <vertAlign val="subscript"/>
        <sz val="11"/>
        <color indexed="8"/>
        <rFont val="Calibri"/>
        <family val="2"/>
      </rPr>
      <t>water, circ</t>
    </r>
  </si>
  <si>
    <t>binnen BV</t>
  </si>
  <si>
    <t>in AOR</t>
  </si>
  <si>
    <t>buiten</t>
  </si>
  <si>
    <t>sumproduct: tm x Te</t>
  </si>
  <si>
    <t>gemiddelde Te</t>
  </si>
  <si>
    <t>θamb,m,j</t>
  </si>
  <si>
    <t>θe,m</t>
  </si>
  <si>
    <t>gemiddeld aantal tappunten/bed</t>
  </si>
  <si>
    <t>gemiddelde tapleidinglengte/bed</t>
  </si>
  <si>
    <t>ηwater,circk,m</t>
  </si>
  <si>
    <r>
      <t>η</t>
    </r>
    <r>
      <rPr>
        <sz val="10"/>
        <rFont val="Arial"/>
        <family val="2"/>
      </rPr>
      <t>sys,bath,i,m</t>
    </r>
  </si>
  <si>
    <r>
      <t>η</t>
    </r>
    <r>
      <rPr>
        <sz val="10"/>
        <rFont val="Arial"/>
        <family val="2"/>
      </rPr>
      <t>sys,bath,i</t>
    </r>
  </si>
  <si>
    <t>rwater,bath i,net</t>
  </si>
  <si>
    <r>
      <t>Q</t>
    </r>
    <r>
      <rPr>
        <vertAlign val="subscript"/>
        <sz val="10"/>
        <rFont val="Arial"/>
        <family val="2"/>
      </rPr>
      <t>water our,circ k,m</t>
    </r>
  </si>
  <si>
    <r>
      <t>η</t>
    </r>
    <r>
      <rPr>
        <vertAlign val="subscript"/>
        <sz val="10"/>
        <rFont val="Arial"/>
        <family val="2"/>
      </rPr>
      <t>tubing,bath</t>
    </r>
  </si>
  <si>
    <r>
      <t>T</t>
    </r>
    <r>
      <rPr>
        <vertAlign val="subscript"/>
        <sz val="10"/>
        <rFont val="Arial"/>
        <family val="2"/>
      </rPr>
      <t>i</t>
    </r>
  </si>
  <si>
    <t>januari</t>
  </si>
  <si>
    <t>februari</t>
  </si>
  <si>
    <t>maart</t>
  </si>
  <si>
    <t>april</t>
  </si>
  <si>
    <t>juni</t>
  </si>
  <si>
    <t>juli</t>
  </si>
  <si>
    <t>augustus</t>
  </si>
  <si>
    <t>september</t>
  </si>
  <si>
    <t>oktober</t>
  </si>
  <si>
    <t>november</t>
  </si>
  <si>
    <t>december</t>
  </si>
  <si>
    <t>gemiddelde</t>
  </si>
  <si>
    <t>MJ/maand</t>
  </si>
  <si>
    <t>Acoll</t>
  </si>
  <si>
    <t>φ</t>
  </si>
  <si>
    <t>°NB</t>
  </si>
  <si>
    <t>rad NB</t>
  </si>
  <si>
    <t>Breedteligging, Ukkel</t>
  </si>
  <si>
    <t>θj</t>
  </si>
  <si>
    <t>°</t>
  </si>
  <si>
    <t>rad</t>
  </si>
  <si>
    <t>helling collectorvlak</t>
  </si>
  <si>
    <t>φj</t>
  </si>
  <si>
    <t>orientatie collectorvlak</t>
  </si>
  <si>
    <t>cw</t>
  </si>
  <si>
    <t>Bijlage I, Appendix C, p.105</t>
  </si>
  <si>
    <t>ηopw</t>
  </si>
  <si>
    <t>Met verbrandingstoestel en warmteopslag</t>
  </si>
  <si>
    <t xml:space="preserve">nov </t>
  </si>
  <si>
    <t>jaar</t>
  </si>
  <si>
    <t>Qeind,m</t>
  </si>
  <si>
    <t>fas,m</t>
  </si>
  <si>
    <t>ηas</t>
  </si>
  <si>
    <t>Qas,m</t>
  </si>
  <si>
    <t>10.4.1.1</t>
  </si>
  <si>
    <t>Qdemand,m</t>
  </si>
  <si>
    <t>Qbrut</t>
  </si>
  <si>
    <t>Ias,shad,m</t>
  </si>
  <si>
    <t>Ias,unshad,m</t>
  </si>
  <si>
    <t>Is,dir</t>
  </si>
  <si>
    <t>Is,dif</t>
  </si>
  <si>
    <t>Is,refl</t>
  </si>
  <si>
    <t>Is,tot,hor</t>
  </si>
  <si>
    <t>Is,dif,hor</t>
  </si>
  <si>
    <t>Qs,dir,char [J/m².dag]</t>
  </si>
  <si>
    <t>Qs,dir,char,hor [J/m².dag]</t>
  </si>
  <si>
    <t>d</t>
  </si>
  <si>
    <t>δ [rad]</t>
  </si>
  <si>
    <r>
      <t xml:space="preserve">Uurhoek </t>
    </r>
    <r>
      <rPr>
        <sz val="10"/>
        <rFont val="Calibri"/>
        <family val="2"/>
      </rPr>
      <t>ω</t>
    </r>
  </si>
  <si>
    <t>[°]</t>
  </si>
  <si>
    <t>[rad]</t>
  </si>
  <si>
    <r>
      <t xml:space="preserve">zonnehoogtehoek </t>
    </r>
    <r>
      <rPr>
        <sz val="10"/>
        <rFont val="Calibri"/>
        <family val="2"/>
      </rPr>
      <t>β [°]</t>
    </r>
  </si>
  <si>
    <t>troebelheidsfactor TL</t>
  </si>
  <si>
    <t>optische weglengte dR [m]</t>
  </si>
  <si>
    <t>wegfactor m [-1]</t>
  </si>
  <si>
    <r>
      <t>cos(</t>
    </r>
    <r>
      <rPr>
        <sz val="10"/>
        <rFont val="Calibri"/>
        <family val="2"/>
      </rPr>
      <t>χ</t>
    </r>
    <r>
      <rPr>
        <sz val="10"/>
        <rFont val="Arial"/>
        <family val="2"/>
      </rPr>
      <t>s,j)</t>
    </r>
  </si>
  <si>
    <r>
      <t>cos(</t>
    </r>
    <r>
      <rPr>
        <sz val="10"/>
        <rFont val="Calibri"/>
        <family val="2"/>
      </rPr>
      <t>χ</t>
    </r>
    <r>
      <rPr>
        <sz val="10"/>
        <rFont val="Arial"/>
        <family val="2"/>
      </rPr>
      <t>s,hor)</t>
    </r>
  </si>
  <si>
    <t>q,s,dir</t>
  </si>
  <si>
    <t>ω1,2</t>
  </si>
  <si>
    <t>ω3,4</t>
  </si>
  <si>
    <t>Q,dir,j per uur</t>
  </si>
  <si>
    <t>Qdir,hor,per uur</t>
  </si>
  <si>
    <t>zonnecollector</t>
  </si>
  <si>
    <t>- helling</t>
  </si>
  <si>
    <t>- oppervlakte</t>
  </si>
  <si>
    <t>- orientatie</t>
  </si>
  <si>
    <t>- leidingsverliezen</t>
  </si>
  <si>
    <t>ventilatie:</t>
  </si>
  <si>
    <t>verlichting:</t>
  </si>
  <si>
    <t>SFP</t>
  </si>
  <si>
    <t>budgetterm verlichting</t>
  </si>
  <si>
    <t>primair verlichting</t>
  </si>
  <si>
    <t>netto vloeroppervlakte</t>
  </si>
  <si>
    <t>Resultaten</t>
  </si>
  <si>
    <t>- rendement warmteterugwinning</t>
  </si>
  <si>
    <t>- SFP (specific fan power)</t>
  </si>
  <si>
    <t>- systeemrendement</t>
  </si>
  <si>
    <t>- opwekkingsrendement</t>
  </si>
  <si>
    <r>
      <t>luchtdichtheid (v</t>
    </r>
    <r>
      <rPr>
        <vertAlign val="subscript"/>
        <sz val="10"/>
        <rFont val="Verdana"/>
        <family val="2"/>
      </rPr>
      <t>50</t>
    </r>
    <r>
      <rPr>
        <sz val="10"/>
        <rFont val="Verdana"/>
        <family val="2"/>
      </rPr>
      <t>)</t>
    </r>
  </si>
  <si>
    <r>
      <t>verwarming</t>
    </r>
    <r>
      <rPr>
        <sz val="10"/>
        <rFont val="Verdana"/>
        <family val="2"/>
      </rPr>
      <t>:</t>
    </r>
  </si>
  <si>
    <r>
      <t>sanitair warm water</t>
    </r>
    <r>
      <rPr>
        <sz val="10"/>
        <rFont val="Verdana"/>
        <family val="2"/>
      </rPr>
      <t>:</t>
    </r>
  </si>
  <si>
    <r>
      <t>koeling</t>
    </r>
    <r>
      <rPr>
        <sz val="10"/>
        <rFont val="Verdana"/>
        <family val="2"/>
      </rPr>
      <t>:</t>
    </r>
  </si>
  <si>
    <t>m³/h/m²</t>
  </si>
  <si>
    <t>- lengte circulatieleiding SWW</t>
  </si>
  <si>
    <t>- minimum toevoerdebiet</t>
  </si>
  <si>
    <t>- gemiddeld vermogen/m²</t>
  </si>
  <si>
    <t>- aantal branduren</t>
  </si>
  <si>
    <t>PV-panelen</t>
  </si>
  <si>
    <t>- regeling pompen</t>
  </si>
  <si>
    <t>- vochtrecuperatie</t>
  </si>
  <si>
    <t>Bevochtiging</t>
  </si>
  <si>
    <t>x,h,m (tabel 7 bijlage II)</t>
  </si>
  <si>
    <t>Q,hum,net</t>
  </si>
  <si>
    <t>Q,hum,brut</t>
  </si>
  <si>
    <t>- primaire omzettingsfactor</t>
  </si>
  <si>
    <t>1. epb&gt;resultaten&gt;subdossier&gt;verwarming&gt;energiesector</t>
  </si>
  <si>
    <t>2. epb&gt;resultaten&gt;subdossier&gt;koeling&gt;energiesector</t>
  </si>
  <si>
    <t>Dit is het hoofdblad waar gegevens ingevoerd kunnen worden.</t>
  </si>
  <si>
    <t>- budgetterm verlichting</t>
  </si>
  <si>
    <t>(Door met de cursor over de rode driehoekjes te bewegen in de rechterbovenhoek van een cel, kan de opmerking gelezen worden.)</t>
  </si>
  <si>
    <t xml:space="preserve">- opwekkingsrendement </t>
  </si>
  <si>
    <t>- systeemrendement (afgifte)</t>
  </si>
  <si>
    <t>- aantal m² zonnecollectoren</t>
  </si>
  <si>
    <r>
      <t>- r</t>
    </r>
    <r>
      <rPr>
        <vertAlign val="subscript"/>
        <sz val="10"/>
        <rFont val="Verdana"/>
        <family val="2"/>
      </rPr>
      <t>fans</t>
    </r>
  </si>
  <si>
    <t>Berekening van het E-peil</t>
  </si>
  <si>
    <t>Gegevens invoer</t>
  </si>
  <si>
    <t>E-peil ventilatiezone</t>
  </si>
  <si>
    <t>- regeling van de ventilatoren</t>
  </si>
  <si>
    <t>- leefruimtes</t>
  </si>
  <si>
    <t>- andere (circulatie, berging, …)</t>
  </si>
  <si>
    <t>- ontwerpextractiedebiet</t>
  </si>
  <si>
    <t>- ontwerppulsiedebiet</t>
  </si>
  <si>
    <t>Parameters en tussenrekenresultaten</t>
  </si>
  <si>
    <t>Berekening energie-opwekking aan de hand van zonnecollectoren voor sanitair warm water</t>
  </si>
  <si>
    <t>Geen invoer, enkel tussenresultaten</t>
  </si>
  <si>
    <t>- oriëntatie collectoren</t>
  </si>
  <si>
    <t>- helling collectoren</t>
  </si>
  <si>
    <t>Geef hier de resultaten in berekend met de epb-software.</t>
  </si>
  <si>
    <t>- primair energieverbruik verlichting</t>
  </si>
  <si>
    <t>In kolom C alle gegevens invullen (in sommige vakjes staat een opmerking met informatie over het in te geven getal)</t>
  </si>
  <si>
    <t>- piekventilatiedebiet (zomer)</t>
  </si>
  <si>
    <t>K-peil</t>
  </si>
  <si>
    <t>- de hygiënische ventilatie voor deze ene ruimte wordt ingegeven als 'ruimte niet voor menselijke bestemming' met mechanische ventilatie evenveel als het minimaal verplichte debiet.</t>
  </si>
  <si>
    <t>Geometrische gegevens</t>
  </si>
  <si>
    <t>totaal verliesoppervlakte</t>
  </si>
  <si>
    <t>- lengte tapleiding SWW per bed</t>
  </si>
  <si>
    <t>De volgende tabel geeft het E-peil van de ventilatiezone.</t>
  </si>
  <si>
    <t>Er moeten geen gegevens ingevoerd worden.</t>
  </si>
  <si>
    <t>Het primair energieverbruik en het referentie-energieverbruik moeten ingegeven worden in het VIPA projectrekenblad</t>
  </si>
  <si>
    <t>capaciteit</t>
  </si>
  <si>
    <t>Bouwkundige maatregelen</t>
  </si>
  <si>
    <t>installatietechnische maatregelen</t>
  </si>
  <si>
    <r>
      <rPr>
        <u/>
        <sz val="10"/>
        <rFont val="Verdana"/>
        <family val="2"/>
      </rPr>
      <t>PV-panelen</t>
    </r>
    <r>
      <rPr>
        <sz val="10"/>
        <rFont val="Verdana"/>
        <family val="2"/>
      </rPr>
      <t>: primaire energieopwekking</t>
    </r>
  </si>
  <si>
    <t>- voor de hygiënische ventilatie volstaat het een ruimte te definiëren met een oppervlak gelijk aan het totaal netto vloeroppervlak</t>
  </si>
  <si>
    <t>Ventilatiezone</t>
  </si>
  <si>
    <t>1. korte beschrijving test</t>
  </si>
  <si>
    <t>4. Rekenblad verlichting</t>
  </si>
  <si>
    <t>Totaal primair energieverbruik</t>
  </si>
  <si>
    <t>2. EPI projectrekenblad</t>
  </si>
  <si>
    <t>3. EPI zonerekenblad</t>
  </si>
  <si>
    <t>Op deze pagina bevinden zich alle rekenresultaten.</t>
  </si>
  <si>
    <t>Deze energiestromen worden ter informatie gegeven. Hier moet niets ingegeven of aangepast worden.</t>
  </si>
  <si>
    <t>- EPI projectrekenblad</t>
  </si>
  <si>
    <t>- EPI rekenblad zone kamers</t>
  </si>
  <si>
    <t>- de verlichting moet in de epb-software niet gedetailleerd ingegeven worden (verlichting = waarde bij onstentenis)</t>
  </si>
  <si>
    <t>De resultaten zijn te vinden in het blad &lt;E-peil&gt;.</t>
  </si>
  <si>
    <t>De rekenresultaten van de verschillende energiestromen zijn te vinden in het blad &lt;Berekeningsresultaten&gt;.</t>
  </si>
  <si>
    <t>24 mei 2011</t>
  </si>
  <si>
    <t>EPI Rekenblad zone kamers</t>
  </si>
  <si>
    <t>VIPA</t>
  </si>
  <si>
    <t>Gebruik:</t>
  </si>
  <si>
    <t xml:space="preserve">     bediend door hetzelfde ventilatiesysteem als kamers</t>
  </si>
  <si>
    <t>- vul de epb-software in als bestemming kantoor</t>
  </si>
  <si>
    <t>tijdsfractie = 1 i.p.v. 0.3</t>
  </si>
  <si>
    <t>Kopieer resultaten verwarming en koeling van de ventilatiezone kamers (EPI) in het tabblad &lt;ResultatenEPB&gt; van dit rekenblad.</t>
  </si>
  <si>
    <t>Vul de gegevens in in het blad &lt;Gegevensinvoer&gt;</t>
  </si>
  <si>
    <t>Het E-peil voor het project (som van de verschillende ventilatiezones) wordt berekend in het EPI projectrekenblad.</t>
  </si>
  <si>
    <t>Volgende data zijn beschikbaar:</t>
  </si>
  <si>
    <t>E-peilberekening woonzorgcentra:</t>
  </si>
  <si>
    <t>- Handleiding</t>
  </si>
  <si>
    <t>Voorbeeld:</t>
  </si>
  <si>
    <t>Omrekenen van het E-peil van een ventilatiezone kamers in een woonzorgcentrum berekend met de epb-software (EPU).</t>
  </si>
  <si>
    <t>EPB-resultaten</t>
  </si>
  <si>
    <r>
      <rPr>
        <b/>
        <sz val="10"/>
        <color indexed="8"/>
        <rFont val="Verdana"/>
        <family val="2"/>
      </rPr>
      <t>Doel</t>
    </r>
    <r>
      <rPr>
        <sz val="10"/>
        <color indexed="8"/>
        <rFont val="Verdana"/>
        <family val="2"/>
      </rPr>
      <t>:</t>
    </r>
  </si>
  <si>
    <r>
      <rPr>
        <b/>
        <sz val="10"/>
        <rFont val="Verdana"/>
        <family val="2"/>
      </rPr>
      <t>ventilatiezone WZC</t>
    </r>
    <r>
      <rPr>
        <sz val="10"/>
        <rFont val="Verdana"/>
        <family val="2"/>
      </rPr>
      <t>: kamers, leefruimtes e.a. functies die continu bezet worden</t>
    </r>
  </si>
  <si>
    <r>
      <t>Q</t>
    </r>
    <r>
      <rPr>
        <vertAlign val="subscript"/>
        <sz val="10"/>
        <rFont val="Verdana"/>
        <family val="2"/>
      </rPr>
      <t xml:space="preserve">v,heat </t>
    </r>
  </si>
  <si>
    <r>
      <t>Q</t>
    </r>
    <r>
      <rPr>
        <vertAlign val="subscript"/>
        <sz val="10"/>
        <rFont val="Verdana"/>
        <family val="2"/>
      </rPr>
      <t xml:space="preserve">v,cool </t>
    </r>
  </si>
  <si>
    <r>
      <t>W</t>
    </r>
    <r>
      <rPr>
        <vertAlign val="subscript"/>
        <sz val="10"/>
        <rFont val="Verdana"/>
        <family val="2"/>
      </rPr>
      <t>fans,seci,m,heat</t>
    </r>
  </si>
  <si>
    <r>
      <t>W</t>
    </r>
    <r>
      <rPr>
        <vertAlign val="subscript"/>
        <sz val="10"/>
        <rFont val="Verdana"/>
        <family val="2"/>
      </rPr>
      <t>fans,seci,m,cool</t>
    </r>
  </si>
  <si>
    <r>
      <t>η</t>
    </r>
    <r>
      <rPr>
        <vertAlign val="subscript"/>
        <sz val="10"/>
        <rFont val="Verdana"/>
        <family val="2"/>
      </rPr>
      <t>sys,cool</t>
    </r>
  </si>
  <si>
    <r>
      <t>γ</t>
    </r>
    <r>
      <rPr>
        <vertAlign val="subscript"/>
        <sz val="10"/>
        <rFont val="Verdana"/>
        <family val="2"/>
      </rPr>
      <t>seci,m</t>
    </r>
  </si>
  <si>
    <t>twee berekeningsmethodes:</t>
  </si>
  <si>
    <t>1. primair energieverbruik SWW</t>
  </si>
  <si>
    <t xml:space="preserve">of </t>
  </si>
  <si>
    <t>2. vereenvoudigde berekening (indien alle leidingen binnen het beschermde volume liggen en de leidingsverliezen van alle leidingen gelijk zijn)</t>
  </si>
  <si>
    <r>
      <t>- productie (h</t>
    </r>
    <r>
      <rPr>
        <vertAlign val="subscript"/>
        <sz val="9"/>
        <rFont val="Verdana"/>
        <family val="2"/>
      </rPr>
      <t>opw</t>
    </r>
    <r>
      <rPr>
        <sz val="10"/>
        <rFont val="Verdana"/>
        <family val="2"/>
      </rPr>
      <t xml:space="preserve"> en h</t>
    </r>
    <r>
      <rPr>
        <vertAlign val="subscript"/>
        <sz val="10"/>
        <rFont val="Verdana"/>
        <family val="2"/>
      </rPr>
      <t>opslag</t>
    </r>
    <r>
      <rPr>
        <sz val="10"/>
        <rFont val="Verdana"/>
        <family val="2"/>
      </rPr>
      <t>)</t>
    </r>
  </si>
  <si>
    <t>- primaire omzettingsfactor bevochtiging</t>
  </si>
  <si>
    <t>- opwekkingsrendement bevochtiging</t>
  </si>
  <si>
    <t>- kamers (incl. badkamer)</t>
  </si>
  <si>
    <t>- kantoor, kinélokaal, apotheker, gemeenschappelijke badkamer …</t>
  </si>
  <si>
    <t>!!! Let op met tekenconventies: punten en komma's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</si>
</sst>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000"/>
    <numFmt numFmtId="166" formatCode="0.000"/>
  </numFmts>
  <fonts count="50" x14ac:knownFonts="1">
    <font>
      <sz val="10"/>
      <name val="Arial"/>
    </font>
    <font>
      <sz val="10"/>
      <name val="Arial"/>
      <family val="2"/>
    </font>
    <font>
      <sz val="8"/>
      <name val="Arial"/>
      <family val="2"/>
    </font>
    <font>
      <sz val="10"/>
      <color indexed="9"/>
      <name val="Arial"/>
      <family val="2"/>
    </font>
    <font>
      <vertAlign val="subscript"/>
      <sz val="10"/>
      <name val="Arial"/>
      <family val="2"/>
    </font>
    <font>
      <sz val="10"/>
      <name val="Book Antiqua"/>
      <family val="1"/>
    </font>
    <font>
      <b/>
      <sz val="10"/>
      <name val="Book Antiqua"/>
      <family val="1"/>
    </font>
    <font>
      <b/>
      <vertAlign val="subscript"/>
      <sz val="10"/>
      <name val="Book Antiqua"/>
      <family val="1"/>
    </font>
    <font>
      <b/>
      <sz val="10"/>
      <name val="Arial"/>
      <family val="2"/>
    </font>
    <font>
      <sz val="10"/>
      <color indexed="10"/>
      <name val="Arial"/>
      <family val="2"/>
    </font>
    <font>
      <b/>
      <sz val="10"/>
      <color indexed="10"/>
      <name val="Arial"/>
      <family val="2"/>
    </font>
    <font>
      <u/>
      <sz val="10"/>
      <color indexed="12"/>
      <name val="Arial"/>
      <family val="2"/>
    </font>
    <font>
      <vertAlign val="subscript"/>
      <sz val="10"/>
      <name val="Arial"/>
      <family val="2"/>
    </font>
    <font>
      <b/>
      <sz val="10"/>
      <color indexed="9"/>
      <name val="Arial"/>
      <family val="2"/>
    </font>
    <font>
      <sz val="10"/>
      <color indexed="9"/>
      <name val="Arial"/>
      <family val="2"/>
    </font>
    <font>
      <sz val="10"/>
      <name val="Arial"/>
      <family val="2"/>
    </font>
    <font>
      <i/>
      <sz val="10"/>
      <name val="Arial"/>
      <family val="2"/>
    </font>
    <font>
      <sz val="10"/>
      <color indexed="22"/>
      <name val="Arial"/>
      <family val="2"/>
    </font>
    <font>
      <sz val="10"/>
      <name val="Arial"/>
      <family val="2"/>
    </font>
    <font>
      <sz val="10"/>
      <color indexed="49"/>
      <name val="Arial"/>
      <family val="2"/>
    </font>
    <font>
      <sz val="10"/>
      <color indexed="55"/>
      <name val="Arial"/>
      <family val="2"/>
    </font>
    <font>
      <b/>
      <sz val="10"/>
      <color indexed="21"/>
      <name val="Arial"/>
      <family val="2"/>
    </font>
    <font>
      <sz val="10"/>
      <color indexed="22"/>
      <name val="Arial"/>
      <family val="2"/>
    </font>
    <font>
      <sz val="8"/>
      <color indexed="81"/>
      <name val="Tahoma"/>
      <family val="2"/>
    </font>
    <font>
      <sz val="11"/>
      <color indexed="8"/>
      <name val="Calibri"/>
      <family val="2"/>
    </font>
    <font>
      <vertAlign val="subscript"/>
      <sz val="11"/>
      <color indexed="8"/>
      <name val="Calibri"/>
      <family val="2"/>
    </font>
    <font>
      <sz val="10"/>
      <name val="Calibri"/>
      <family val="2"/>
    </font>
    <font>
      <sz val="10"/>
      <color indexed="10"/>
      <name val="Arial"/>
      <family val="2"/>
    </font>
    <font>
      <sz val="10"/>
      <name val="Verdana"/>
      <family val="2"/>
    </font>
    <font>
      <b/>
      <sz val="10"/>
      <name val="Verdana"/>
      <family val="2"/>
    </font>
    <font>
      <b/>
      <sz val="10"/>
      <color indexed="10"/>
      <name val="Verdana"/>
      <family val="2"/>
    </font>
    <font>
      <vertAlign val="subscript"/>
      <sz val="10"/>
      <name val="Verdana"/>
      <family val="2"/>
    </font>
    <font>
      <u/>
      <sz val="10"/>
      <name val="Verdana"/>
      <family val="2"/>
    </font>
    <font>
      <b/>
      <sz val="8"/>
      <color indexed="81"/>
      <name val="Tahoma"/>
      <family val="2"/>
    </font>
    <font>
      <sz val="9"/>
      <color indexed="81"/>
      <name val="Tahoma"/>
      <family val="2"/>
    </font>
    <font>
      <b/>
      <sz val="9"/>
      <color indexed="81"/>
      <name val="Tahoma"/>
      <family val="2"/>
    </font>
    <font>
      <sz val="9"/>
      <color indexed="81"/>
      <name val="Tahoma"/>
      <family val="2"/>
    </font>
    <font>
      <sz val="10"/>
      <color indexed="9"/>
      <name val="Verdana"/>
      <family val="2"/>
    </font>
    <font>
      <sz val="10"/>
      <color indexed="8"/>
      <name val="Verdana"/>
      <family val="2"/>
    </font>
    <font>
      <b/>
      <sz val="10"/>
      <color indexed="8"/>
      <name val="Verdana"/>
      <family val="2"/>
    </font>
    <font>
      <b/>
      <sz val="10"/>
      <color indexed="9"/>
      <name val="Verdana"/>
      <family val="2"/>
    </font>
    <font>
      <i/>
      <sz val="10"/>
      <name val="Verdana"/>
      <family val="2"/>
    </font>
    <font>
      <vertAlign val="subscript"/>
      <sz val="9"/>
      <name val="Verdana"/>
      <family val="2"/>
    </font>
    <font>
      <sz val="10"/>
      <color theme="1"/>
      <name val="Calibri"/>
      <family val="2"/>
      <scheme val="minor"/>
    </font>
    <font>
      <sz val="11"/>
      <color theme="1"/>
      <name val="Calibri"/>
      <family val="2"/>
      <scheme val="minor"/>
    </font>
    <font>
      <sz val="10"/>
      <color theme="0" tint="-0.34998626667073579"/>
      <name val="Arial"/>
      <family val="2"/>
    </font>
    <font>
      <sz val="10"/>
      <color theme="0" tint="-0.499984740745262"/>
      <name val="Verdana"/>
      <family val="2"/>
    </font>
    <font>
      <sz val="10"/>
      <color theme="1"/>
      <name val="Verdana"/>
      <family val="2"/>
    </font>
    <font>
      <sz val="10"/>
      <color rgb="FFFF0000"/>
      <name val="Verdana"/>
      <family val="2"/>
    </font>
    <font>
      <sz val="10"/>
      <color theme="0" tint="-0.14999847407452621"/>
      <name val="Verdana"/>
      <family val="2"/>
    </font>
  </fonts>
  <fills count="18">
    <fill>
      <patternFill patternType="none"/>
    </fill>
    <fill>
      <patternFill patternType="gray125"/>
    </fill>
    <fill>
      <patternFill patternType="solid">
        <fgColor indexed="63"/>
        <bgColor indexed="64"/>
      </patternFill>
    </fill>
    <fill>
      <patternFill patternType="solid">
        <fgColor indexed="22"/>
        <bgColor indexed="64"/>
      </patternFill>
    </fill>
    <fill>
      <patternFill patternType="solid">
        <fgColor indexed="9"/>
        <bgColor indexed="64"/>
      </patternFill>
    </fill>
    <fill>
      <patternFill patternType="solid">
        <fgColor indexed="55"/>
        <bgColor indexed="64"/>
      </patternFill>
    </fill>
    <fill>
      <patternFill patternType="solid">
        <fgColor indexed="50"/>
        <bgColor indexed="64"/>
      </patternFill>
    </fill>
    <fill>
      <patternFill patternType="solid">
        <fgColor indexed="13"/>
        <bgColor indexed="64"/>
      </patternFill>
    </fill>
    <fill>
      <patternFill patternType="solid">
        <fgColor indexed="49"/>
        <bgColor indexed="64"/>
      </patternFill>
    </fill>
    <fill>
      <patternFill patternType="solid">
        <fgColor theme="0"/>
        <bgColor indexed="64"/>
      </patternFill>
    </fill>
    <fill>
      <patternFill patternType="solid">
        <fgColor theme="8"/>
        <bgColor indexed="64"/>
      </patternFill>
    </fill>
    <fill>
      <patternFill patternType="solid">
        <fgColor theme="6"/>
        <bgColor indexed="64"/>
      </patternFill>
    </fill>
    <fill>
      <patternFill patternType="solid">
        <fgColor rgb="FFFFC000"/>
        <bgColor indexed="64"/>
      </patternFill>
    </fill>
    <fill>
      <patternFill patternType="solid">
        <fgColor theme="2"/>
        <bgColor indexed="64"/>
      </patternFill>
    </fill>
    <fill>
      <patternFill patternType="solid">
        <fgColor theme="1"/>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theme="1" tint="0.249977111117893"/>
        <bgColor indexed="64"/>
      </patternFill>
    </fill>
  </fills>
  <borders count="35">
    <border>
      <left/>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ck">
        <color indexed="64"/>
      </bottom>
      <diagonal/>
    </border>
    <border>
      <left/>
      <right style="medium">
        <color indexed="64"/>
      </right>
      <top/>
      <bottom style="thick">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ck">
        <color indexed="64"/>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1" fillId="0" borderId="0" applyNumberFormat="0" applyFill="0" applyBorder="0" applyAlignment="0" applyProtection="0">
      <alignment vertical="top"/>
      <protection locked="0"/>
    </xf>
    <xf numFmtId="0" fontId="43" fillId="0" borderId="0"/>
    <xf numFmtId="0" fontId="44" fillId="0" borderId="0"/>
    <xf numFmtId="9" fontId="1" fillId="0" borderId="0" applyFont="0" applyFill="0" applyBorder="0" applyAlignment="0" applyProtection="0"/>
  </cellStyleXfs>
  <cellXfs count="433">
    <xf numFmtId="0" fontId="0" fillId="0" borderId="0" xfId="0"/>
    <xf numFmtId="0" fontId="3" fillId="2" borderId="0" xfId="0" applyFont="1" applyFill="1"/>
    <xf numFmtId="0" fontId="0" fillId="3" borderId="0" xfId="0" applyFill="1"/>
    <xf numFmtId="0" fontId="0" fillId="4" borderId="0" xfId="0" applyFill="1"/>
    <xf numFmtId="0" fontId="0" fillId="4" borderId="1" xfId="0" applyFill="1" applyBorder="1"/>
    <xf numFmtId="0" fontId="5" fillId="0" borderId="2" xfId="0" applyFont="1" applyBorder="1" applyAlignment="1">
      <alignment horizontal="right" vertical="top" wrapText="1"/>
    </xf>
    <xf numFmtId="0" fontId="6" fillId="0" borderId="3" xfId="0" applyFont="1" applyBorder="1" applyAlignment="1">
      <alignment horizontal="justify" vertical="top" wrapText="1"/>
    </xf>
    <xf numFmtId="0" fontId="5" fillId="0" borderId="4" xfId="0" applyFont="1" applyBorder="1" applyAlignment="1">
      <alignment horizontal="center" vertical="top" wrapText="1"/>
    </xf>
    <xf numFmtId="0" fontId="5" fillId="0" borderId="5" xfId="0" applyFont="1" applyBorder="1" applyAlignment="1">
      <alignment horizontal="justify"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5" fillId="0" borderId="8" xfId="0" applyFont="1" applyBorder="1" applyAlignment="1">
      <alignment horizontal="justify" vertical="top" wrapText="1"/>
    </xf>
    <xf numFmtId="0" fontId="5" fillId="0" borderId="6" xfId="0" applyFont="1" applyBorder="1" applyAlignment="1">
      <alignment horizontal="center" wrapText="1"/>
    </xf>
    <xf numFmtId="0" fontId="0" fillId="0" borderId="6" xfId="0" applyBorder="1" applyAlignment="1">
      <alignment wrapText="1"/>
    </xf>
    <xf numFmtId="0" fontId="0" fillId="0" borderId="7" xfId="0" applyBorder="1" applyAlignment="1">
      <alignment wrapText="1"/>
    </xf>
    <xf numFmtId="0" fontId="5" fillId="0" borderId="8" xfId="0" applyFont="1" applyBorder="1" applyAlignment="1">
      <alignment horizontal="left" vertical="top" wrapText="1"/>
    </xf>
    <xf numFmtId="0" fontId="0" fillId="0" borderId="0" xfId="0" applyAlignment="1">
      <alignment horizontal="center"/>
    </xf>
    <xf numFmtId="1" fontId="0" fillId="0" borderId="0" xfId="0" applyNumberFormat="1"/>
    <xf numFmtId="0" fontId="0" fillId="0" borderId="0" xfId="0" applyFill="1"/>
    <xf numFmtId="0" fontId="3" fillId="2" borderId="9" xfId="0" applyFont="1" applyFill="1" applyBorder="1"/>
    <xf numFmtId="0" fontId="3" fillId="2" borderId="10" xfId="0" applyFont="1" applyFill="1" applyBorder="1"/>
    <xf numFmtId="0" fontId="3" fillId="2" borderId="11" xfId="0" applyFont="1" applyFill="1" applyBorder="1"/>
    <xf numFmtId="0" fontId="0" fillId="3" borderId="12" xfId="0" applyFill="1" applyBorder="1"/>
    <xf numFmtId="0" fontId="0" fillId="3" borderId="1" xfId="0" applyFill="1" applyBorder="1"/>
    <xf numFmtId="0" fontId="0" fillId="4" borderId="0" xfId="0" applyFill="1" applyBorder="1"/>
    <xf numFmtId="0" fontId="0" fillId="4" borderId="13" xfId="0" applyFill="1" applyBorder="1"/>
    <xf numFmtId="0" fontId="3" fillId="3" borderId="9" xfId="0" applyFont="1" applyFill="1" applyBorder="1"/>
    <xf numFmtId="0" fontId="0" fillId="4" borderId="14" xfId="0" applyFill="1" applyBorder="1" applyAlignment="1">
      <alignment horizontal="left"/>
    </xf>
    <xf numFmtId="0" fontId="0" fillId="4" borderId="15" xfId="0" applyFill="1" applyBorder="1" applyAlignment="1">
      <alignment horizontal="left"/>
    </xf>
    <xf numFmtId="0" fontId="1" fillId="0" borderId="0" xfId="0" applyFont="1" applyFill="1"/>
    <xf numFmtId="0" fontId="1" fillId="0" borderId="0" xfId="0" applyFont="1"/>
    <xf numFmtId="0" fontId="8" fillId="0" borderId="0" xfId="0" applyFont="1"/>
    <xf numFmtId="0" fontId="1" fillId="0" borderId="0" xfId="0" applyFont="1" applyFill="1" applyBorder="1"/>
    <xf numFmtId="0" fontId="13" fillId="5" borderId="0" xfId="0" applyFont="1" applyFill="1"/>
    <xf numFmtId="0" fontId="14" fillId="5" borderId="0" xfId="0" applyFont="1" applyFill="1" applyAlignment="1">
      <alignment horizontal="center"/>
    </xf>
    <xf numFmtId="0" fontId="14" fillId="5" borderId="0" xfId="0" applyFont="1" applyFill="1"/>
    <xf numFmtId="0" fontId="15" fillId="0" borderId="0" xfId="0" applyFont="1" applyFill="1"/>
    <xf numFmtId="0" fontId="15" fillId="0" borderId="0" xfId="0" applyFont="1"/>
    <xf numFmtId="0" fontId="0" fillId="0" borderId="0" xfId="0" applyAlignment="1">
      <alignment horizontal="right"/>
    </xf>
    <xf numFmtId="0" fontId="15" fillId="0" borderId="0" xfId="0" applyFont="1" applyFill="1" applyAlignment="1">
      <alignment horizontal="center"/>
    </xf>
    <xf numFmtId="2" fontId="0" fillId="0" borderId="0" xfId="0" applyNumberFormat="1"/>
    <xf numFmtId="0" fontId="0" fillId="0" borderId="0" xfId="0" applyAlignment="1">
      <alignment horizontal="left"/>
    </xf>
    <xf numFmtId="0" fontId="16" fillId="0" borderId="0" xfId="0" applyFont="1" applyFill="1" applyAlignment="1">
      <alignment horizontal="right"/>
    </xf>
    <xf numFmtId="1" fontId="15" fillId="0" borderId="0" xfId="0" applyNumberFormat="1" applyFont="1" applyFill="1" applyAlignment="1"/>
    <xf numFmtId="166" fontId="15" fillId="0" borderId="0" xfId="0" applyNumberFormat="1" applyFont="1" applyFill="1" applyAlignment="1"/>
    <xf numFmtId="0" fontId="16" fillId="0" borderId="0" xfId="0" applyFont="1"/>
    <xf numFmtId="0" fontId="15" fillId="0" borderId="0" xfId="0" applyFont="1" applyFill="1" applyAlignment="1">
      <alignment horizontal="right"/>
    </xf>
    <xf numFmtId="0" fontId="3" fillId="5" borderId="0" xfId="0" applyFont="1" applyFill="1"/>
    <xf numFmtId="0" fontId="1" fillId="5" borderId="0" xfId="0" applyFont="1" applyFill="1"/>
    <xf numFmtId="0" fontId="0" fillId="5" borderId="0" xfId="0" applyFill="1"/>
    <xf numFmtId="0" fontId="12" fillId="0" borderId="0" xfId="0" applyFont="1"/>
    <xf numFmtId="0" fontId="1" fillId="0" borderId="0" xfId="0" quotePrefix="1" applyFont="1" applyFill="1"/>
    <xf numFmtId="0" fontId="1" fillId="0" borderId="0" xfId="0" applyFont="1" applyBorder="1"/>
    <xf numFmtId="1" fontId="1" fillId="0" borderId="0" xfId="0" applyNumberFormat="1" applyFont="1" applyFill="1" applyBorder="1"/>
    <xf numFmtId="1" fontId="15" fillId="0" borderId="0" xfId="0" applyNumberFormat="1" applyFont="1"/>
    <xf numFmtId="1" fontId="3" fillId="5" borderId="0" xfId="0" applyNumberFormat="1" applyFont="1" applyFill="1" applyBorder="1"/>
    <xf numFmtId="0" fontId="1" fillId="5" borderId="0" xfId="0" applyFont="1" applyFill="1" applyBorder="1"/>
    <xf numFmtId="1" fontId="1" fillId="0" borderId="0" xfId="0" applyNumberFormat="1" applyFont="1" applyBorder="1"/>
    <xf numFmtId="2" fontId="1" fillId="0" borderId="0" xfId="0" applyNumberFormat="1" applyFont="1" applyBorder="1"/>
    <xf numFmtId="0" fontId="1" fillId="0" borderId="0" xfId="0" quotePrefix="1" applyFont="1" applyFill="1" applyBorder="1"/>
    <xf numFmtId="2" fontId="3" fillId="5" borderId="0" xfId="0" applyNumberFormat="1" applyFont="1" applyFill="1" applyBorder="1"/>
    <xf numFmtId="0" fontId="3" fillId="5" borderId="0" xfId="0" applyFont="1" applyFill="1" applyBorder="1"/>
    <xf numFmtId="1" fontId="0" fillId="0" borderId="0" xfId="0" applyNumberFormat="1" applyFill="1"/>
    <xf numFmtId="0" fontId="1" fillId="0" borderId="0" xfId="0" applyFont="1" applyFill="1" applyAlignment="1">
      <alignment horizontal="left"/>
    </xf>
    <xf numFmtId="0" fontId="0" fillId="0" borderId="0" xfId="0" applyFill="1" applyAlignment="1">
      <alignment horizontal="left"/>
    </xf>
    <xf numFmtId="0" fontId="0" fillId="0" borderId="0" xfId="0" applyFill="1" applyAlignment="1">
      <alignment horizontal="center"/>
    </xf>
    <xf numFmtId="0" fontId="0" fillId="0" borderId="0" xfId="0" applyFill="1" applyBorder="1" applyAlignment="1">
      <alignment horizontal="right"/>
    </xf>
    <xf numFmtId="0" fontId="0" fillId="0" borderId="0" xfId="0" applyFill="1" applyBorder="1"/>
    <xf numFmtId="1" fontId="0" fillId="0" borderId="0" xfId="0" applyNumberFormat="1" applyFill="1" applyAlignment="1">
      <alignment horizontal="right"/>
    </xf>
    <xf numFmtId="0" fontId="0" fillId="0" borderId="0" xfId="0" applyFill="1" applyAlignment="1">
      <alignment horizontal="right"/>
    </xf>
    <xf numFmtId="2" fontId="0" fillId="0" borderId="0" xfId="0" applyNumberFormat="1" applyFill="1" applyBorder="1" applyAlignment="1">
      <alignment horizontal="right"/>
    </xf>
    <xf numFmtId="2" fontId="1" fillId="0" borderId="0" xfId="0" applyNumberFormat="1" applyFont="1" applyFill="1" applyAlignment="1">
      <alignment horizontal="right"/>
    </xf>
    <xf numFmtId="1" fontId="1" fillId="0" borderId="0" xfId="0" applyNumberFormat="1" applyFont="1" applyFill="1" applyAlignment="1">
      <alignment wrapText="1"/>
    </xf>
    <xf numFmtId="2" fontId="0" fillId="0" borderId="0" xfId="0" applyNumberFormat="1" applyFill="1" applyAlignment="1">
      <alignment horizontal="right"/>
    </xf>
    <xf numFmtId="1" fontId="0" fillId="0" borderId="0" xfId="0" applyNumberFormat="1" applyFill="1" applyAlignment="1">
      <alignment horizontal="left"/>
    </xf>
    <xf numFmtId="0" fontId="8" fillId="0" borderId="0" xfId="0" applyFont="1" applyFill="1"/>
    <xf numFmtId="0" fontId="8" fillId="0" borderId="0" xfId="0" applyFont="1" applyFill="1" applyAlignment="1">
      <alignment horizontal="left"/>
    </xf>
    <xf numFmtId="0" fontId="1" fillId="3" borderId="0" xfId="0" applyFont="1" applyFill="1" applyBorder="1"/>
    <xf numFmtId="1" fontId="1" fillId="4" borderId="0" xfId="0" applyNumberFormat="1" applyFont="1" applyFill="1" applyBorder="1"/>
    <xf numFmtId="1" fontId="15" fillId="4" borderId="0" xfId="0" applyNumberFormat="1" applyFont="1" applyFill="1"/>
    <xf numFmtId="0" fontId="0" fillId="4" borderId="0" xfId="0" applyFill="1" applyBorder="1" applyAlignment="1">
      <alignment horizontal="center"/>
    </xf>
    <xf numFmtId="0" fontId="0" fillId="0" borderId="0" xfId="0" applyFill="1" applyBorder="1" applyAlignment="1">
      <alignment horizontal="left"/>
    </xf>
    <xf numFmtId="0" fontId="0" fillId="2" borderId="11" xfId="0" applyFill="1" applyBorder="1"/>
    <xf numFmtId="0" fontId="8" fillId="3" borderId="1" xfId="0" applyFont="1" applyFill="1" applyBorder="1"/>
    <xf numFmtId="0" fontId="0" fillId="3" borderId="16" xfId="0" applyFill="1" applyBorder="1"/>
    <xf numFmtId="0" fontId="8" fillId="3" borderId="12" xfId="0" applyFont="1" applyFill="1" applyBorder="1"/>
    <xf numFmtId="1" fontId="0" fillId="0" borderId="0" xfId="0" applyNumberFormat="1" applyFill="1" applyBorder="1"/>
    <xf numFmtId="0" fontId="1" fillId="6" borderId="0" xfId="0" applyFont="1" applyFill="1"/>
    <xf numFmtId="1" fontId="1" fillId="0" borderId="0" xfId="0" applyNumberFormat="1" applyFont="1"/>
    <xf numFmtId="0" fontId="0" fillId="4" borderId="9" xfId="0" applyFill="1" applyBorder="1"/>
    <xf numFmtId="0" fontId="0" fillId="4" borderId="11" xfId="0" applyFill="1" applyBorder="1"/>
    <xf numFmtId="0" fontId="0" fillId="4" borderId="10" xfId="0" applyFill="1" applyBorder="1" applyAlignment="1">
      <alignment horizontal="center"/>
    </xf>
    <xf numFmtId="0" fontId="0" fillId="4" borderId="17" xfId="0" applyFill="1" applyBorder="1"/>
    <xf numFmtId="164" fontId="0" fillId="4" borderId="1" xfId="0" applyNumberFormat="1" applyFill="1" applyBorder="1"/>
    <xf numFmtId="0" fontId="0" fillId="4" borderId="18" xfId="0" applyFill="1" applyBorder="1"/>
    <xf numFmtId="0" fontId="0" fillId="4" borderId="16" xfId="0" applyFill="1" applyBorder="1"/>
    <xf numFmtId="0" fontId="0" fillId="4" borderId="19" xfId="0" applyFill="1" applyBorder="1"/>
    <xf numFmtId="0" fontId="0" fillId="4" borderId="20" xfId="0" applyFill="1" applyBorder="1" applyAlignment="1">
      <alignment horizontal="center"/>
    </xf>
    <xf numFmtId="0" fontId="0" fillId="4" borderId="21" xfId="0" applyFill="1" applyBorder="1"/>
    <xf numFmtId="0" fontId="0" fillId="4" borderId="22" xfId="0" applyFill="1" applyBorder="1"/>
    <xf numFmtId="0" fontId="0" fillId="0" borderId="23" xfId="0" applyFill="1" applyBorder="1" applyAlignment="1">
      <alignment horizontal="right"/>
    </xf>
    <xf numFmtId="0" fontId="1" fillId="0" borderId="0" xfId="0" applyFont="1" applyFill="1" applyAlignment="1">
      <alignment horizontal="center"/>
    </xf>
    <xf numFmtId="9" fontId="0" fillId="0" borderId="0" xfId="4" applyFont="1"/>
    <xf numFmtId="1" fontId="1" fillId="0" borderId="23" xfId="0" applyNumberFormat="1" applyFont="1" applyFill="1" applyBorder="1"/>
    <xf numFmtId="0" fontId="0" fillId="4" borderId="0" xfId="0" applyFill="1" applyBorder="1" applyAlignment="1">
      <alignment horizontal="right"/>
    </xf>
    <xf numFmtId="9" fontId="1" fillId="0" borderId="0" xfId="4" applyFont="1" applyFill="1"/>
    <xf numFmtId="0" fontId="0" fillId="0" borderId="0" xfId="0" applyBorder="1"/>
    <xf numFmtId="0" fontId="1" fillId="0" borderId="0" xfId="0" applyFont="1" applyBorder="1" applyAlignment="1">
      <alignment horizontal="center"/>
    </xf>
    <xf numFmtId="0" fontId="1" fillId="0" borderId="0" xfId="0" applyFont="1" applyFill="1" applyBorder="1" applyAlignment="1">
      <alignment horizontal="center"/>
    </xf>
    <xf numFmtId="0" fontId="1" fillId="0" borderId="0" xfId="0" applyFont="1" applyAlignment="1">
      <alignment horizontal="center"/>
    </xf>
    <xf numFmtId="2" fontId="0" fillId="0" borderId="23" xfId="0" applyNumberFormat="1" applyFill="1" applyBorder="1" applyAlignment="1">
      <alignment horizontal="right"/>
    </xf>
    <xf numFmtId="9" fontId="15" fillId="0" borderId="23" xfId="4" applyFont="1" applyFill="1" applyBorder="1" applyAlignment="1">
      <alignment horizontal="center"/>
    </xf>
    <xf numFmtId="0" fontId="15" fillId="0" borderId="23" xfId="0" applyFont="1" applyFill="1" applyBorder="1" applyAlignment="1">
      <alignment horizontal="center"/>
    </xf>
    <xf numFmtId="0" fontId="0" fillId="0" borderId="23" xfId="0" applyBorder="1"/>
    <xf numFmtId="1" fontId="0" fillId="0" borderId="0" xfId="4" applyNumberFormat="1" applyFont="1"/>
    <xf numFmtId="2" fontId="1" fillId="0" borderId="0" xfId="0" applyNumberFormat="1" applyFont="1" applyFill="1" applyAlignment="1">
      <alignment horizontal="center"/>
    </xf>
    <xf numFmtId="0" fontId="9" fillId="6" borderId="0" xfId="0" applyFont="1" applyFill="1" applyBorder="1"/>
    <xf numFmtId="2" fontId="1" fillId="0" borderId="0" xfId="0" applyNumberFormat="1" applyFont="1" applyFill="1"/>
    <xf numFmtId="0" fontId="17" fillId="0" borderId="0" xfId="0" applyFont="1" applyFill="1" applyAlignment="1">
      <alignment horizontal="right"/>
    </xf>
    <xf numFmtId="0" fontId="17" fillId="0" borderId="0" xfId="0" applyFont="1" applyFill="1"/>
    <xf numFmtId="2" fontId="17" fillId="0" borderId="0" xfId="0" applyNumberFormat="1" applyFont="1" applyFill="1" applyBorder="1" applyAlignment="1">
      <alignment horizontal="right"/>
    </xf>
    <xf numFmtId="9" fontId="0" fillId="0" borderId="23" xfId="4" applyFont="1" applyBorder="1"/>
    <xf numFmtId="0" fontId="1" fillId="0" borderId="0" xfId="0" applyFont="1" applyFill="1" applyBorder="1" applyAlignment="1">
      <alignment horizontal="right"/>
    </xf>
    <xf numFmtId="0" fontId="0" fillId="0" borderId="0" xfId="0" applyFont="1" applyFill="1" applyAlignment="1">
      <alignment horizontal="center"/>
    </xf>
    <xf numFmtId="164" fontId="1" fillId="0" borderId="0" xfId="0" applyNumberFormat="1" applyFont="1" applyFill="1" applyAlignment="1">
      <alignment horizontal="center"/>
    </xf>
    <xf numFmtId="0" fontId="0" fillId="4" borderId="23" xfId="0" applyFill="1" applyBorder="1"/>
    <xf numFmtId="1" fontId="1" fillId="0" borderId="0" xfId="0" applyNumberFormat="1" applyFont="1" applyAlignment="1">
      <alignment horizontal="center"/>
    </xf>
    <xf numFmtId="1" fontId="0" fillId="0" borderId="0" xfId="0" applyNumberFormat="1" applyBorder="1" applyAlignment="1">
      <alignment horizontal="center"/>
    </xf>
    <xf numFmtId="164" fontId="0" fillId="0" borderId="0" xfId="0" applyNumberFormat="1"/>
    <xf numFmtId="165" fontId="1" fillId="0" borderId="0" xfId="0" applyNumberFormat="1" applyFont="1" applyFill="1"/>
    <xf numFmtId="0" fontId="9" fillId="0" borderId="0" xfId="0" applyFont="1" applyFill="1"/>
    <xf numFmtId="0" fontId="19" fillId="0" borderId="0" xfId="0" applyFont="1" applyFill="1"/>
    <xf numFmtId="0" fontId="19" fillId="0" borderId="0" xfId="0" applyFont="1"/>
    <xf numFmtId="2" fontId="19" fillId="0" borderId="0" xfId="0" applyNumberFormat="1" applyFont="1" applyFill="1" applyBorder="1" applyAlignment="1">
      <alignment horizontal="right"/>
    </xf>
    <xf numFmtId="0" fontId="20" fillId="0" borderId="0" xfId="0" applyFont="1" applyFill="1"/>
    <xf numFmtId="2" fontId="19" fillId="0" borderId="23" xfId="0" applyNumberFormat="1" applyFont="1" applyFill="1" applyBorder="1" applyAlignment="1">
      <alignment horizontal="right"/>
    </xf>
    <xf numFmtId="164" fontId="1" fillId="4" borderId="0" xfId="0" applyNumberFormat="1" applyFont="1" applyFill="1" applyBorder="1"/>
    <xf numFmtId="0" fontId="8" fillId="4" borderId="0" xfId="0" applyFont="1" applyFill="1" applyBorder="1"/>
    <xf numFmtId="164" fontId="8" fillId="4" borderId="0" xfId="0" applyNumberFormat="1" applyFont="1" applyFill="1" applyBorder="1"/>
    <xf numFmtId="1" fontId="0" fillId="4" borderId="0" xfId="0" applyNumberFormat="1" applyFill="1" applyBorder="1"/>
    <xf numFmtId="164" fontId="0" fillId="4" borderId="0" xfId="0" applyNumberFormat="1" applyFill="1" applyBorder="1"/>
    <xf numFmtId="0" fontId="15" fillId="4" borderId="0" xfId="0" applyFont="1" applyFill="1" applyBorder="1"/>
    <xf numFmtId="0" fontId="8" fillId="4" borderId="23" xfId="0" applyFont="1" applyFill="1" applyBorder="1"/>
    <xf numFmtId="1" fontId="15" fillId="4" borderId="0" xfId="0" applyNumberFormat="1" applyFont="1" applyFill="1" applyBorder="1"/>
    <xf numFmtId="0" fontId="15" fillId="4" borderId="23" xfId="0" applyFont="1" applyFill="1" applyBorder="1"/>
    <xf numFmtId="9" fontId="15" fillId="4" borderId="0" xfId="4" applyFont="1" applyFill="1" applyBorder="1"/>
    <xf numFmtId="1" fontId="8" fillId="4" borderId="0" xfId="0" applyNumberFormat="1" applyFont="1" applyFill="1" applyBorder="1"/>
    <xf numFmtId="0" fontId="0" fillId="4" borderId="24" xfId="0" applyFill="1" applyBorder="1"/>
    <xf numFmtId="0" fontId="0" fillId="4" borderId="6" xfId="0" applyFill="1" applyBorder="1"/>
    <xf numFmtId="0" fontId="8" fillId="4" borderId="24" xfId="0" applyFont="1" applyFill="1" applyBorder="1"/>
    <xf numFmtId="0" fontId="21" fillId="4" borderId="24" xfId="0" applyFont="1" applyFill="1" applyBorder="1"/>
    <xf numFmtId="0" fontId="8" fillId="4" borderId="6" xfId="0" applyFont="1" applyFill="1" applyBorder="1"/>
    <xf numFmtId="0" fontId="0" fillId="4" borderId="25" xfId="0" applyFill="1" applyBorder="1"/>
    <xf numFmtId="0" fontId="0" fillId="4" borderId="20" xfId="0" applyFill="1" applyBorder="1"/>
    <xf numFmtId="2" fontId="0" fillId="4" borderId="20" xfId="0" applyNumberFormat="1" applyFill="1" applyBorder="1"/>
    <xf numFmtId="0" fontId="0" fillId="4" borderId="7" xfId="0" applyFill="1" applyBorder="1"/>
    <xf numFmtId="0" fontId="0" fillId="4" borderId="6" xfId="0" applyFill="1" applyBorder="1" applyAlignment="1">
      <alignment horizontal="center"/>
    </xf>
    <xf numFmtId="0" fontId="24" fillId="0" borderId="0" xfId="0" applyFont="1"/>
    <xf numFmtId="0" fontId="22" fillId="4" borderId="0" xfId="0" applyFont="1" applyFill="1" applyBorder="1"/>
    <xf numFmtId="0" fontId="18" fillId="4" borderId="0" xfId="0" applyFont="1" applyFill="1" applyBorder="1"/>
    <xf numFmtId="164" fontId="8" fillId="4" borderId="23" xfId="0" applyNumberFormat="1" applyFont="1" applyFill="1" applyBorder="1"/>
    <xf numFmtId="0" fontId="18" fillId="3" borderId="0" xfId="0" applyFont="1" applyFill="1" applyBorder="1"/>
    <xf numFmtId="9" fontId="0" fillId="4" borderId="0" xfId="4" applyFont="1" applyFill="1"/>
    <xf numFmtId="9" fontId="0" fillId="4" borderId="0" xfId="0" applyNumberFormat="1" applyFill="1"/>
    <xf numFmtId="164" fontId="0" fillId="4" borderId="0" xfId="0" applyNumberFormat="1" applyFill="1"/>
    <xf numFmtId="0" fontId="1" fillId="4" borderId="0" xfId="0" applyFont="1" applyFill="1"/>
    <xf numFmtId="164" fontId="1" fillId="4" borderId="0" xfId="0" applyNumberFormat="1" applyFont="1" applyFill="1"/>
    <xf numFmtId="9" fontId="1" fillId="4" borderId="0" xfId="0" applyNumberFormat="1" applyFont="1" applyFill="1"/>
    <xf numFmtId="164" fontId="9" fillId="0" borderId="0" xfId="0" applyNumberFormat="1" applyFont="1"/>
    <xf numFmtId="2" fontId="0" fillId="4" borderId="0" xfId="0" applyNumberFormat="1" applyFill="1" applyBorder="1"/>
    <xf numFmtId="1" fontId="22" fillId="4" borderId="0" xfId="0" applyNumberFormat="1" applyFont="1" applyFill="1" applyBorder="1"/>
    <xf numFmtId="1" fontId="10" fillId="4" borderId="0" xfId="0" applyNumberFormat="1" applyFont="1" applyFill="1" applyBorder="1"/>
    <xf numFmtId="0" fontId="26" fillId="0" borderId="0" xfId="0" applyFont="1"/>
    <xf numFmtId="2" fontId="0" fillId="0" borderId="23" xfId="0" applyNumberFormat="1" applyBorder="1"/>
    <xf numFmtId="9" fontId="0" fillId="0" borderId="0" xfId="0" applyNumberFormat="1"/>
    <xf numFmtId="0" fontId="8" fillId="7" borderId="0" xfId="0" applyFont="1" applyFill="1"/>
    <xf numFmtId="2" fontId="8" fillId="0" borderId="0" xfId="0" applyNumberFormat="1" applyFont="1"/>
    <xf numFmtId="9" fontId="8" fillId="0" borderId="0" xfId="0" applyNumberFormat="1" applyFont="1"/>
    <xf numFmtId="0" fontId="27" fillId="0" borderId="0" xfId="0" applyFont="1"/>
    <xf numFmtId="20" fontId="0" fillId="0" borderId="0" xfId="0" applyNumberFormat="1"/>
    <xf numFmtId="0" fontId="0" fillId="0" borderId="0" xfId="0" applyNumberFormat="1" applyFill="1"/>
    <xf numFmtId="20" fontId="0" fillId="0" borderId="0" xfId="0" applyNumberFormat="1" applyFill="1"/>
    <xf numFmtId="0" fontId="15" fillId="4" borderId="0" xfId="0" quotePrefix="1" applyFont="1" applyFill="1" applyBorder="1"/>
    <xf numFmtId="1" fontId="0" fillId="0" borderId="23" xfId="0" applyNumberFormat="1" applyBorder="1"/>
    <xf numFmtId="2" fontId="15" fillId="0" borderId="0" xfId="0" applyNumberFormat="1" applyFont="1" applyFill="1" applyBorder="1" applyAlignment="1"/>
    <xf numFmtId="0" fontId="0" fillId="0" borderId="0" xfId="0" applyNumberFormat="1" applyBorder="1"/>
    <xf numFmtId="1" fontId="0" fillId="0" borderId="0" xfId="0" applyNumberFormat="1" applyBorder="1"/>
    <xf numFmtId="2" fontId="1" fillId="0" borderId="0" xfId="0" applyNumberFormat="1" applyFont="1" applyFill="1" applyBorder="1" applyAlignment="1">
      <alignment horizontal="center"/>
    </xf>
    <xf numFmtId="1" fontId="1" fillId="0" borderId="23" xfId="0" applyNumberFormat="1" applyFont="1" applyFill="1" applyBorder="1" applyAlignment="1">
      <alignment horizontal="center"/>
    </xf>
    <xf numFmtId="0" fontId="0" fillId="9" borderId="0" xfId="0" applyFill="1"/>
    <xf numFmtId="0" fontId="45" fillId="4" borderId="23" xfId="0" applyFont="1" applyFill="1" applyBorder="1"/>
    <xf numFmtId="0" fontId="45" fillId="4" borderId="0" xfId="0" applyFont="1" applyFill="1" applyBorder="1"/>
    <xf numFmtId="2" fontId="45" fillId="4" borderId="0" xfId="0" applyNumberFormat="1" applyFont="1" applyFill="1"/>
    <xf numFmtId="0" fontId="45" fillId="0" borderId="0" xfId="0" applyFont="1"/>
    <xf numFmtId="0" fontId="1" fillId="9" borderId="0" xfId="0" applyFont="1" applyFill="1"/>
    <xf numFmtId="2" fontId="0" fillId="0" borderId="0" xfId="0" applyNumberFormat="1" applyFill="1"/>
    <xf numFmtId="164" fontId="0" fillId="0" borderId="0" xfId="0" applyNumberFormat="1" applyFill="1"/>
    <xf numFmtId="0" fontId="0" fillId="9" borderId="26" xfId="0" applyFill="1" applyBorder="1"/>
    <xf numFmtId="0" fontId="0" fillId="9" borderId="27" xfId="0" applyFill="1" applyBorder="1"/>
    <xf numFmtId="0" fontId="0" fillId="9" borderId="28" xfId="0" applyFill="1" applyBorder="1"/>
    <xf numFmtId="0" fontId="0" fillId="9" borderId="24" xfId="0" applyFill="1" applyBorder="1"/>
    <xf numFmtId="0" fontId="0" fillId="9" borderId="0" xfId="0" applyFill="1" applyBorder="1"/>
    <xf numFmtId="0" fontId="0" fillId="9" borderId="6" xfId="0" applyFill="1" applyBorder="1"/>
    <xf numFmtId="0" fontId="0" fillId="9" borderId="25" xfId="0" applyFill="1" applyBorder="1"/>
    <xf numFmtId="0" fontId="0" fillId="9" borderId="20" xfId="0" applyFill="1" applyBorder="1"/>
    <xf numFmtId="0" fontId="0" fillId="9" borderId="7" xfId="0" applyFill="1" applyBorder="1"/>
    <xf numFmtId="0" fontId="28" fillId="0" borderId="0" xfId="0" applyFont="1"/>
    <xf numFmtId="0" fontId="28" fillId="0" borderId="0" xfId="0" applyFont="1" applyAlignment="1">
      <alignment horizontal="center"/>
    </xf>
    <xf numFmtId="0" fontId="28" fillId="9" borderId="0" xfId="0" applyFont="1" applyFill="1"/>
    <xf numFmtId="0" fontId="28" fillId="9" borderId="0" xfId="0" applyFont="1" applyFill="1" applyBorder="1" applyAlignment="1">
      <alignment horizontal="center"/>
    </xf>
    <xf numFmtId="0" fontId="28" fillId="10" borderId="0" xfId="0" applyFont="1" applyFill="1" applyBorder="1" applyAlignment="1">
      <alignment horizontal="left"/>
    </xf>
    <xf numFmtId="0" fontId="28" fillId="10" borderId="0" xfId="0" applyFont="1" applyFill="1" applyBorder="1" applyAlignment="1">
      <alignment horizontal="center"/>
    </xf>
    <xf numFmtId="0" fontId="28" fillId="9" borderId="0" xfId="0" applyFont="1" applyFill="1" applyBorder="1"/>
    <xf numFmtId="0" fontId="28" fillId="9" borderId="0" xfId="0" applyFont="1" applyFill="1" applyBorder="1" applyAlignment="1">
      <alignment horizontal="center" vertical="top" wrapText="1"/>
    </xf>
    <xf numFmtId="0" fontId="28" fillId="9" borderId="6" xfId="0" applyFont="1" applyFill="1" applyBorder="1"/>
    <xf numFmtId="0" fontId="28" fillId="9" borderId="24" xfId="0" applyFont="1" applyFill="1" applyBorder="1" applyAlignment="1">
      <alignment vertical="top" wrapText="1"/>
    </xf>
    <xf numFmtId="0" fontId="32" fillId="9" borderId="24" xfId="0" applyFont="1" applyFill="1" applyBorder="1" applyAlignment="1">
      <alignment vertical="top" wrapText="1"/>
    </xf>
    <xf numFmtId="9" fontId="28" fillId="9" borderId="0" xfId="4" applyFont="1" applyFill="1" applyBorder="1" applyAlignment="1">
      <alignment horizontal="center"/>
    </xf>
    <xf numFmtId="9" fontId="28" fillId="9" borderId="0" xfId="4" applyFont="1" applyFill="1" applyBorder="1" applyAlignment="1">
      <alignment horizontal="center" vertical="top" wrapText="1"/>
    </xf>
    <xf numFmtId="0" fontId="28" fillId="9" borderId="24" xfId="0" quotePrefix="1" applyFont="1" applyFill="1" applyBorder="1" applyAlignment="1">
      <alignment vertical="top" wrapText="1"/>
    </xf>
    <xf numFmtId="0" fontId="28" fillId="9" borderId="24" xfId="1" quotePrefix="1" applyFont="1" applyFill="1" applyBorder="1" applyAlignment="1" applyProtection="1">
      <alignment vertical="top" wrapText="1"/>
    </xf>
    <xf numFmtId="0" fontId="30" fillId="9" borderId="0" xfId="0" applyFont="1" applyFill="1" applyBorder="1"/>
    <xf numFmtId="9" fontId="28" fillId="9" borderId="6" xfId="4" applyFont="1" applyFill="1" applyBorder="1"/>
    <xf numFmtId="0" fontId="28" fillId="9" borderId="24" xfId="0" applyFont="1" applyFill="1" applyBorder="1"/>
    <xf numFmtId="0" fontId="28" fillId="9" borderId="25" xfId="0" applyFont="1" applyFill="1" applyBorder="1"/>
    <xf numFmtId="0" fontId="28" fillId="9" borderId="20" xfId="0" applyFont="1" applyFill="1" applyBorder="1"/>
    <xf numFmtId="0" fontId="28" fillId="9" borderId="20" xfId="0" applyFont="1" applyFill="1" applyBorder="1" applyAlignment="1">
      <alignment horizontal="center"/>
    </xf>
    <xf numFmtId="0" fontId="28" fillId="9" borderId="7" xfId="0" applyFont="1" applyFill="1" applyBorder="1"/>
    <xf numFmtId="0" fontId="28" fillId="10" borderId="0" xfId="0" applyFont="1" applyFill="1" applyBorder="1"/>
    <xf numFmtId="0" fontId="30" fillId="10" borderId="6" xfId="0" applyFont="1" applyFill="1" applyBorder="1" applyAlignment="1">
      <alignment horizontal="left"/>
    </xf>
    <xf numFmtId="0" fontId="28" fillId="10" borderId="6" xfId="0" applyFont="1" applyFill="1" applyBorder="1"/>
    <xf numFmtId="0" fontId="29" fillId="9" borderId="0" xfId="0" applyFont="1" applyFill="1" applyBorder="1" applyAlignment="1">
      <alignment horizontal="center" vertical="top" wrapText="1"/>
    </xf>
    <xf numFmtId="0" fontId="29" fillId="10" borderId="24" xfId="0" applyFont="1" applyFill="1" applyBorder="1" applyAlignment="1">
      <alignment vertical="top" wrapText="1"/>
    </xf>
    <xf numFmtId="0" fontId="29" fillId="10" borderId="24" xfId="0" applyFont="1" applyFill="1" applyBorder="1"/>
    <xf numFmtId="0" fontId="28" fillId="9" borderId="24" xfId="0" quotePrefix="1" applyFont="1" applyFill="1" applyBorder="1"/>
    <xf numFmtId="0" fontId="28" fillId="9" borderId="0" xfId="0" applyNumberFormat="1" applyFont="1" applyFill="1" applyBorder="1" applyAlignment="1">
      <alignment horizontal="center" vertical="top" wrapText="1"/>
    </xf>
    <xf numFmtId="0" fontId="28" fillId="11" borderId="0" xfId="0" applyFont="1" applyFill="1" applyBorder="1" applyAlignment="1">
      <alignment horizontal="center"/>
    </xf>
    <xf numFmtId="1" fontId="8" fillId="0" borderId="0" xfId="0" applyNumberFormat="1" applyFont="1"/>
    <xf numFmtId="0" fontId="1" fillId="11" borderId="26" xfId="0" applyFont="1" applyFill="1" applyBorder="1"/>
    <xf numFmtId="0" fontId="1" fillId="11" borderId="24" xfId="0" applyFont="1" applyFill="1" applyBorder="1"/>
    <xf numFmtId="0" fontId="1" fillId="11" borderId="25" xfId="0" applyFont="1" applyFill="1" applyBorder="1"/>
    <xf numFmtId="0" fontId="28" fillId="11" borderId="26" xfId="0" applyFont="1" applyFill="1" applyBorder="1"/>
    <xf numFmtId="0" fontId="28" fillId="11" borderId="27" xfId="0" applyFont="1" applyFill="1" applyBorder="1"/>
    <xf numFmtId="0" fontId="28" fillId="11" borderId="27" xfId="0" applyFont="1" applyFill="1" applyBorder="1" applyAlignment="1">
      <alignment horizontal="center"/>
    </xf>
    <xf numFmtId="0" fontId="28" fillId="11" borderId="28" xfId="0" applyFont="1" applyFill="1" applyBorder="1"/>
    <xf numFmtId="0" fontId="28" fillId="11" borderId="24" xfId="0" applyFont="1" applyFill="1" applyBorder="1"/>
    <xf numFmtId="0" fontId="28" fillId="11" borderId="0" xfId="0" applyFont="1" applyFill="1" applyBorder="1"/>
    <xf numFmtId="0" fontId="28" fillId="11" borderId="6" xfId="0" applyFont="1" applyFill="1" applyBorder="1"/>
    <xf numFmtId="0" fontId="46" fillId="11" borderId="0" xfId="0" applyFont="1" applyFill="1" applyBorder="1" applyAlignment="1">
      <alignment horizontal="center"/>
    </xf>
    <xf numFmtId="0" fontId="28" fillId="11" borderId="25" xfId="0" applyFont="1" applyFill="1" applyBorder="1"/>
    <xf numFmtId="0" fontId="28" fillId="11" borderId="20" xfId="0" applyFont="1" applyFill="1" applyBorder="1"/>
    <xf numFmtId="0" fontId="28" fillId="11" borderId="20" xfId="0" applyFont="1" applyFill="1" applyBorder="1" applyAlignment="1">
      <alignment horizontal="center"/>
    </xf>
    <xf numFmtId="0" fontId="28" fillId="11" borderId="7" xfId="0" applyFont="1" applyFill="1" applyBorder="1"/>
    <xf numFmtId="0" fontId="28" fillId="12" borderId="24" xfId="0" applyFont="1" applyFill="1" applyBorder="1" applyAlignment="1">
      <alignment vertical="top" wrapText="1"/>
    </xf>
    <xf numFmtId="0" fontId="0" fillId="0" borderId="2" xfId="0" applyFill="1" applyBorder="1" applyAlignment="1">
      <alignment horizontal="right"/>
    </xf>
    <xf numFmtId="0" fontId="0" fillId="9" borderId="2" xfId="0" applyFill="1" applyBorder="1"/>
    <xf numFmtId="0" fontId="0" fillId="12" borderId="26" xfId="0" applyFill="1" applyBorder="1"/>
    <xf numFmtId="0" fontId="0" fillId="12" borderId="27" xfId="0" applyFill="1" applyBorder="1"/>
    <xf numFmtId="0" fontId="0" fillId="12" borderId="28" xfId="0" applyFill="1" applyBorder="1"/>
    <xf numFmtId="9" fontId="15" fillId="9" borderId="23" xfId="4" applyNumberFormat="1" applyFont="1" applyFill="1" applyBorder="1" applyAlignment="1">
      <alignment horizontal="center"/>
    </xf>
    <xf numFmtId="0" fontId="8" fillId="12" borderId="27" xfId="0" applyFont="1" applyFill="1" applyBorder="1"/>
    <xf numFmtId="164" fontId="0" fillId="0" borderId="2" xfId="0" applyNumberFormat="1" applyFill="1" applyBorder="1"/>
    <xf numFmtId="1" fontId="1" fillId="13" borderId="0" xfId="0" applyNumberFormat="1" applyFont="1" applyFill="1" applyBorder="1"/>
    <xf numFmtId="0" fontId="0" fillId="13" borderId="0" xfId="0" applyFill="1"/>
    <xf numFmtId="0" fontId="28" fillId="9" borderId="0" xfId="0" applyFont="1" applyFill="1" applyAlignment="1">
      <alignment horizontal="center"/>
    </xf>
    <xf numFmtId="0" fontId="29" fillId="9" borderId="0" xfId="0" applyFont="1" applyFill="1"/>
    <xf numFmtId="0" fontId="28" fillId="9" borderId="26" xfId="0" applyFont="1" applyFill="1" applyBorder="1" applyAlignment="1">
      <alignment horizontal="center"/>
    </xf>
    <xf numFmtId="0" fontId="28" fillId="9" borderId="27" xfId="0" applyFont="1" applyFill="1" applyBorder="1" applyAlignment="1">
      <alignment horizontal="center"/>
    </xf>
    <xf numFmtId="0" fontId="28" fillId="9" borderId="27" xfId="0" applyFont="1" applyFill="1" applyBorder="1" applyAlignment="1">
      <alignment horizontal="left"/>
    </xf>
    <xf numFmtId="0" fontId="28" fillId="9" borderId="27" xfId="0" applyFont="1" applyFill="1" applyBorder="1"/>
    <xf numFmtId="0" fontId="30" fillId="9" borderId="28" xfId="0" applyFont="1" applyFill="1" applyBorder="1" applyAlignment="1">
      <alignment horizontal="left"/>
    </xf>
    <xf numFmtId="2" fontId="0" fillId="9" borderId="2" xfId="0" applyNumberFormat="1" applyFill="1" applyBorder="1"/>
    <xf numFmtId="2" fontId="1" fillId="13" borderId="0" xfId="0" applyNumberFormat="1" applyFont="1" applyFill="1" applyBorder="1"/>
    <xf numFmtId="0" fontId="0" fillId="9" borderId="2" xfId="0" applyFill="1" applyBorder="1" applyAlignment="1">
      <alignment horizontal="center"/>
    </xf>
    <xf numFmtId="0" fontId="1" fillId="9" borderId="23" xfId="0" applyFont="1" applyFill="1" applyBorder="1"/>
    <xf numFmtId="1" fontId="0" fillId="13" borderId="0" xfId="0" applyNumberFormat="1" applyFill="1"/>
    <xf numFmtId="1" fontId="0" fillId="13" borderId="0" xfId="0" applyNumberFormat="1" applyFill="1" applyAlignment="1">
      <alignment horizontal="right"/>
    </xf>
    <xf numFmtId="1" fontId="0" fillId="13" borderId="0" xfId="0" applyNumberFormat="1" applyFill="1" applyBorder="1" applyAlignment="1">
      <alignment horizontal="right"/>
    </xf>
    <xf numFmtId="0" fontId="1" fillId="12" borderId="0" xfId="0" applyFont="1" applyFill="1"/>
    <xf numFmtId="0" fontId="8" fillId="12" borderId="0" xfId="0" applyFont="1" applyFill="1"/>
    <xf numFmtId="164" fontId="43" fillId="0" borderId="0" xfId="2" applyNumberFormat="1" applyFill="1"/>
    <xf numFmtId="9" fontId="0" fillId="0" borderId="0" xfId="4" applyFont="1" applyFill="1"/>
    <xf numFmtId="9" fontId="0" fillId="0" borderId="0" xfId="0" applyNumberFormat="1" applyFill="1"/>
    <xf numFmtId="0" fontId="1" fillId="2" borderId="0" xfId="0" applyFont="1" applyFill="1"/>
    <xf numFmtId="0" fontId="1" fillId="11" borderId="27" xfId="0" applyFont="1" applyFill="1" applyBorder="1"/>
    <xf numFmtId="0" fontId="1" fillId="11" borderId="28" xfId="0" applyFont="1" applyFill="1" applyBorder="1"/>
    <xf numFmtId="0" fontId="1" fillId="11" borderId="0" xfId="0" applyFont="1" applyFill="1" applyBorder="1"/>
    <xf numFmtId="0" fontId="1" fillId="11" borderId="6" xfId="0" applyFont="1" applyFill="1" applyBorder="1"/>
    <xf numFmtId="0" fontId="1" fillId="11" borderId="20" xfId="0" applyFont="1" applyFill="1" applyBorder="1"/>
    <xf numFmtId="0" fontId="1" fillId="11" borderId="7" xfId="0" applyFont="1" applyFill="1" applyBorder="1"/>
    <xf numFmtId="0" fontId="28" fillId="0" borderId="0" xfId="0" applyFont="1" applyFill="1" applyBorder="1"/>
    <xf numFmtId="0" fontId="28" fillId="10" borderId="0" xfId="0" applyFont="1" applyFill="1" applyBorder="1" applyAlignment="1">
      <alignment horizontal="center" vertical="top" wrapText="1"/>
    </xf>
    <xf numFmtId="0" fontId="30" fillId="9" borderId="0" xfId="0" applyFont="1" applyFill="1"/>
    <xf numFmtId="0" fontId="10" fillId="9" borderId="0" xfId="0" applyFont="1" applyFill="1"/>
    <xf numFmtId="0" fontId="15" fillId="9" borderId="0" xfId="0" applyFont="1" applyFill="1"/>
    <xf numFmtId="0" fontId="0" fillId="9" borderId="0" xfId="0" applyFill="1" applyAlignment="1">
      <alignment horizontal="right"/>
    </xf>
    <xf numFmtId="0" fontId="28" fillId="9" borderId="0" xfId="0" applyFont="1" applyFill="1" applyAlignment="1">
      <alignment horizontal="left"/>
    </xf>
    <xf numFmtId="164" fontId="28" fillId="9" borderId="0" xfId="0" applyNumberFormat="1" applyFont="1" applyFill="1"/>
    <xf numFmtId="0" fontId="5" fillId="9" borderId="0" xfId="0" applyFont="1" applyFill="1"/>
    <xf numFmtId="0" fontId="5" fillId="0" borderId="0" xfId="0" applyFont="1"/>
    <xf numFmtId="0" fontId="29" fillId="9" borderId="0" xfId="0" applyFont="1" applyFill="1" applyBorder="1"/>
    <xf numFmtId="0" fontId="37" fillId="2" borderId="26" xfId="0" applyFont="1" applyFill="1" applyBorder="1"/>
    <xf numFmtId="0" fontId="37" fillId="2" borderId="27" xfId="0" applyFont="1" applyFill="1" applyBorder="1"/>
    <xf numFmtId="0" fontId="37" fillId="2" borderId="28" xfId="0" applyFont="1" applyFill="1" applyBorder="1"/>
    <xf numFmtId="0" fontId="37" fillId="9" borderId="0" xfId="0" applyFont="1" applyFill="1" applyBorder="1"/>
    <xf numFmtId="0" fontId="28" fillId="3" borderId="24" xfId="0" applyFont="1" applyFill="1" applyBorder="1"/>
    <xf numFmtId="1" fontId="29" fillId="4" borderId="0" xfId="0" applyNumberFormat="1" applyFont="1" applyFill="1" applyBorder="1"/>
    <xf numFmtId="1" fontId="28" fillId="9" borderId="6" xfId="0" applyNumberFormat="1" applyFont="1" applyFill="1" applyBorder="1"/>
    <xf numFmtId="1" fontId="28" fillId="9" borderId="0" xfId="0" applyNumberFormat="1" applyFont="1" applyFill="1" applyBorder="1"/>
    <xf numFmtId="0" fontId="29" fillId="8" borderId="0" xfId="0" applyFont="1" applyFill="1" applyBorder="1"/>
    <xf numFmtId="0" fontId="28" fillId="3" borderId="25" xfId="0" applyFont="1" applyFill="1" applyBorder="1"/>
    <xf numFmtId="9" fontId="28" fillId="9" borderId="0" xfId="4" applyFont="1" applyFill="1"/>
    <xf numFmtId="11" fontId="28" fillId="9" borderId="0" xfId="0" applyNumberFormat="1" applyFont="1" applyFill="1"/>
    <xf numFmtId="1" fontId="28" fillId="9" borderId="0" xfId="0" applyNumberFormat="1" applyFont="1" applyFill="1"/>
    <xf numFmtId="0" fontId="29" fillId="9" borderId="26" xfId="0" applyFont="1" applyFill="1" applyBorder="1"/>
    <xf numFmtId="0" fontId="29" fillId="9" borderId="27" xfId="0" applyFont="1" applyFill="1" applyBorder="1"/>
    <xf numFmtId="0" fontId="28" fillId="9" borderId="28" xfId="0" applyFont="1" applyFill="1" applyBorder="1"/>
    <xf numFmtId="0" fontId="29" fillId="9" borderId="24" xfId="0" applyFont="1" applyFill="1" applyBorder="1"/>
    <xf numFmtId="0" fontId="47" fillId="9" borderId="24" xfId="3" applyFont="1" applyFill="1" applyBorder="1"/>
    <xf numFmtId="0" fontId="47" fillId="9" borderId="0" xfId="3" applyFont="1" applyFill="1" applyBorder="1"/>
    <xf numFmtId="0" fontId="28" fillId="9" borderId="0" xfId="0" quotePrefix="1" applyFont="1" applyFill="1" applyBorder="1"/>
    <xf numFmtId="0" fontId="29" fillId="9" borderId="0" xfId="0" quotePrefix="1" applyFont="1" applyFill="1" applyBorder="1"/>
    <xf numFmtId="0" fontId="28" fillId="9" borderId="0" xfId="0" applyFont="1" applyFill="1" applyAlignment="1">
      <alignment horizontal="right"/>
    </xf>
    <xf numFmtId="0" fontId="28" fillId="9" borderId="0" xfId="0" applyFont="1" applyFill="1" applyBorder="1" applyAlignment="1">
      <alignment horizontal="right"/>
    </xf>
    <xf numFmtId="0" fontId="29" fillId="11" borderId="26" xfId="0" applyFont="1" applyFill="1" applyBorder="1"/>
    <xf numFmtId="0" fontId="28" fillId="11" borderId="27" xfId="0" applyFont="1" applyFill="1" applyBorder="1" applyAlignment="1">
      <alignment horizontal="right"/>
    </xf>
    <xf numFmtId="0" fontId="28" fillId="11" borderId="0" xfId="0" applyFont="1" applyFill="1" applyBorder="1" applyAlignment="1">
      <alignment horizontal="right"/>
    </xf>
    <xf numFmtId="0" fontId="28" fillId="11" borderId="20" xfId="0" applyFont="1" applyFill="1" applyBorder="1" applyAlignment="1">
      <alignment horizontal="right"/>
    </xf>
    <xf numFmtId="0" fontId="28" fillId="2" borderId="26" xfId="0" applyFont="1" applyFill="1" applyBorder="1"/>
    <xf numFmtId="0" fontId="37" fillId="2" borderId="27" xfId="0" applyFont="1" applyFill="1" applyBorder="1" applyAlignment="1">
      <alignment horizontal="right"/>
    </xf>
    <xf numFmtId="0" fontId="28" fillId="14" borderId="28" xfId="0" applyFont="1" applyFill="1" applyBorder="1"/>
    <xf numFmtId="0" fontId="40" fillId="15" borderId="24" xfId="0" applyFont="1" applyFill="1" applyBorder="1"/>
    <xf numFmtId="0" fontId="37" fillId="15" borderId="0" xfId="0" applyFont="1" applyFill="1" applyBorder="1" applyAlignment="1">
      <alignment horizontal="right"/>
    </xf>
    <xf numFmtId="0" fontId="28" fillId="15" borderId="6" xfId="0" applyFont="1" applyFill="1" applyBorder="1"/>
    <xf numFmtId="1" fontId="28" fillId="4" borderId="0" xfId="0" applyNumberFormat="1" applyFont="1" applyFill="1" applyBorder="1" applyAlignment="1">
      <alignment horizontal="right"/>
    </xf>
    <xf numFmtId="0" fontId="32" fillId="3" borderId="24" xfId="0" applyFont="1" applyFill="1" applyBorder="1"/>
    <xf numFmtId="1" fontId="41" fillId="4" borderId="0" xfId="0" applyNumberFormat="1" applyFont="1" applyFill="1" applyBorder="1" applyAlignment="1">
      <alignment horizontal="right"/>
    </xf>
    <xf numFmtId="0" fontId="41" fillId="4" borderId="0" xfId="0" applyFont="1" applyFill="1" applyBorder="1" applyAlignment="1">
      <alignment horizontal="right"/>
    </xf>
    <xf numFmtId="2" fontId="41" fillId="4" borderId="0" xfId="0" applyNumberFormat="1" applyFont="1" applyFill="1" applyBorder="1" applyAlignment="1">
      <alignment horizontal="right"/>
    </xf>
    <xf numFmtId="0" fontId="40" fillId="5" borderId="24" xfId="0" applyFont="1" applyFill="1" applyBorder="1"/>
    <xf numFmtId="0" fontId="37" fillId="5" borderId="0" xfId="0" applyFont="1" applyFill="1" applyBorder="1" applyAlignment="1">
      <alignment horizontal="right"/>
    </xf>
    <xf numFmtId="0" fontId="37" fillId="9" borderId="6" xfId="0" applyFont="1" applyFill="1" applyBorder="1"/>
    <xf numFmtId="0" fontId="37" fillId="9" borderId="0" xfId="0" applyFont="1" applyFill="1"/>
    <xf numFmtId="1" fontId="29" fillId="4" borderId="0" xfId="0" applyNumberFormat="1" applyFont="1" applyFill="1" applyBorder="1" applyAlignment="1">
      <alignment horizontal="right"/>
    </xf>
    <xf numFmtId="9" fontId="28" fillId="9" borderId="0" xfId="4" applyFont="1" applyFill="1" applyBorder="1"/>
    <xf numFmtId="0" fontId="28" fillId="0" borderId="0" xfId="0" applyFont="1" applyFill="1"/>
    <xf numFmtId="166" fontId="28" fillId="4" borderId="0" xfId="0" applyNumberFormat="1" applyFont="1" applyFill="1" applyBorder="1" applyAlignment="1">
      <alignment horizontal="right"/>
    </xf>
    <xf numFmtId="9" fontId="29" fillId="4" borderId="0" xfId="4" applyFont="1" applyFill="1" applyBorder="1" applyAlignment="1">
      <alignment horizontal="right"/>
    </xf>
    <xf numFmtId="0" fontId="40" fillId="5" borderId="0" xfId="0" applyFont="1" applyFill="1" applyBorder="1" applyAlignment="1">
      <alignment horizontal="right"/>
    </xf>
    <xf numFmtId="2" fontId="28" fillId="9" borderId="0" xfId="0" applyNumberFormat="1" applyFont="1" applyFill="1"/>
    <xf numFmtId="0" fontId="28" fillId="3" borderId="24" xfId="0" applyFont="1" applyFill="1" applyBorder="1" applyAlignment="1">
      <alignment horizontal="right"/>
    </xf>
    <xf numFmtId="9" fontId="28" fillId="4" borderId="0" xfId="4" applyFont="1" applyFill="1" applyBorder="1" applyAlignment="1">
      <alignment horizontal="right"/>
    </xf>
    <xf numFmtId="1" fontId="29" fillId="8" borderId="0" xfId="0" applyNumberFormat="1" applyFont="1" applyFill="1" applyBorder="1" applyAlignment="1">
      <alignment horizontal="right"/>
    </xf>
    <xf numFmtId="1" fontId="28" fillId="9" borderId="0" xfId="4" applyNumberFormat="1" applyFont="1" applyFill="1"/>
    <xf numFmtId="0" fontId="28" fillId="3" borderId="24" xfId="0" applyFont="1" applyFill="1" applyBorder="1" applyAlignment="1">
      <alignment horizontal="left"/>
    </xf>
    <xf numFmtId="2" fontId="28" fillId="4" borderId="0" xfId="0" applyNumberFormat="1" applyFont="1" applyFill="1" applyBorder="1" applyAlignment="1">
      <alignment horizontal="right"/>
    </xf>
    <xf numFmtId="0" fontId="29" fillId="3" borderId="24" xfId="0" applyFont="1" applyFill="1" applyBorder="1"/>
    <xf numFmtId="3" fontId="28" fillId="4" borderId="0" xfId="0" applyNumberFormat="1" applyFont="1" applyFill="1" applyBorder="1" applyAlignment="1">
      <alignment horizontal="right"/>
    </xf>
    <xf numFmtId="1" fontId="48" fillId="9" borderId="0" xfId="0" applyNumberFormat="1" applyFont="1" applyFill="1"/>
    <xf numFmtId="0" fontId="48" fillId="9" borderId="0" xfId="0" applyFont="1" applyFill="1"/>
    <xf numFmtId="0" fontId="48" fillId="9" borderId="0" xfId="0" applyFont="1" applyFill="1" applyAlignment="1">
      <alignment horizontal="right"/>
    </xf>
    <xf numFmtId="9" fontId="48" fillId="9" borderId="0" xfId="4" applyFont="1" applyFill="1" applyBorder="1"/>
    <xf numFmtId="1" fontId="28" fillId="9" borderId="0" xfId="0" applyNumberFormat="1" applyFont="1" applyFill="1" applyBorder="1" applyAlignment="1">
      <alignment horizontal="right"/>
    </xf>
    <xf numFmtId="1" fontId="40" fillId="5" borderId="0" xfId="0" applyNumberFormat="1" applyFont="1" applyFill="1" applyBorder="1" applyAlignment="1">
      <alignment horizontal="right"/>
    </xf>
    <xf numFmtId="164" fontId="28" fillId="4" borderId="0" xfId="0" applyNumberFormat="1" applyFont="1" applyFill="1" applyBorder="1" applyAlignment="1">
      <alignment horizontal="right"/>
    </xf>
    <xf numFmtId="1" fontId="28" fillId="8" borderId="0" xfId="0" applyNumberFormat="1" applyFont="1" applyFill="1" applyBorder="1" applyAlignment="1">
      <alignment horizontal="right"/>
    </xf>
    <xf numFmtId="1" fontId="28" fillId="10" borderId="0" xfId="0" applyNumberFormat="1" applyFont="1" applyFill="1" applyBorder="1" applyAlignment="1">
      <alignment horizontal="right"/>
    </xf>
    <xf numFmtId="0" fontId="29" fillId="4" borderId="0" xfId="0" applyFont="1" applyFill="1" applyBorder="1" applyAlignment="1">
      <alignment horizontal="right"/>
    </xf>
    <xf numFmtId="166" fontId="28" fillId="9" borderId="0" xfId="0" applyNumberFormat="1" applyFont="1" applyFill="1"/>
    <xf numFmtId="0" fontId="28" fillId="16" borderId="26" xfId="0" applyFont="1" applyFill="1" applyBorder="1"/>
    <xf numFmtId="0" fontId="28" fillId="9" borderId="27" xfId="0" applyFont="1" applyFill="1" applyBorder="1" applyAlignment="1">
      <alignment horizontal="right"/>
    </xf>
    <xf numFmtId="0" fontId="29" fillId="16" borderId="24" xfId="0" applyFont="1" applyFill="1" applyBorder="1"/>
    <xf numFmtId="0" fontId="28" fillId="9" borderId="0" xfId="0" applyFont="1" applyFill="1" applyBorder="1" applyAlignment="1">
      <alignment horizontal="left"/>
    </xf>
    <xf numFmtId="0" fontId="28" fillId="16" borderId="25" xfId="0" applyFont="1" applyFill="1" applyBorder="1"/>
    <xf numFmtId="0" fontId="28" fillId="9" borderId="20" xfId="0" applyFont="1" applyFill="1" applyBorder="1" applyAlignment="1">
      <alignment horizontal="right"/>
    </xf>
    <xf numFmtId="1" fontId="28" fillId="9" borderId="20" xfId="0" applyNumberFormat="1" applyFont="1" applyFill="1" applyBorder="1" applyAlignment="1">
      <alignment horizontal="right"/>
    </xf>
    <xf numFmtId="1" fontId="28" fillId="9" borderId="0" xfId="0" applyNumberFormat="1" applyFont="1" applyFill="1" applyAlignment="1">
      <alignment horizontal="right"/>
    </xf>
    <xf numFmtId="0" fontId="49" fillId="9" borderId="0" xfId="0" applyFont="1" applyFill="1" applyAlignment="1">
      <alignment horizontal="right"/>
    </xf>
    <xf numFmtId="0" fontId="49" fillId="9" borderId="0" xfId="0" applyFont="1" applyFill="1" applyBorder="1" applyAlignment="1">
      <alignment horizontal="right"/>
    </xf>
    <xf numFmtId="0" fontId="49" fillId="9" borderId="0" xfId="0" applyFont="1" applyFill="1"/>
    <xf numFmtId="1" fontId="49" fillId="9" borderId="0" xfId="0" applyNumberFormat="1" applyFont="1" applyFill="1" applyAlignment="1">
      <alignment horizontal="right"/>
    </xf>
    <xf numFmtId="1" fontId="49" fillId="9" borderId="0" xfId="0" applyNumberFormat="1" applyFont="1" applyFill="1"/>
    <xf numFmtId="0" fontId="49" fillId="9" borderId="0" xfId="0" applyFont="1" applyFill="1" applyAlignment="1">
      <alignment horizontal="center"/>
    </xf>
    <xf numFmtId="9" fontId="49" fillId="9" borderId="0" xfId="4" applyFont="1" applyFill="1"/>
    <xf numFmtId="164" fontId="28" fillId="9" borderId="0" xfId="0" applyNumberFormat="1" applyFont="1" applyFill="1" applyAlignment="1">
      <alignment horizontal="center"/>
    </xf>
    <xf numFmtId="0" fontId="28" fillId="0" borderId="0" xfId="0" applyFont="1" applyAlignment="1">
      <alignment horizontal="right"/>
    </xf>
    <xf numFmtId="0" fontId="28" fillId="0" borderId="0" xfId="0" applyFont="1" applyBorder="1" applyAlignment="1">
      <alignment horizontal="right"/>
    </xf>
    <xf numFmtId="0" fontId="28" fillId="0" borderId="0" xfId="0" applyFont="1" applyBorder="1"/>
    <xf numFmtId="0" fontId="28" fillId="17" borderId="28" xfId="0" applyFont="1" applyFill="1" applyBorder="1"/>
    <xf numFmtId="0" fontId="37" fillId="5" borderId="24" xfId="0" applyFont="1" applyFill="1" applyBorder="1"/>
    <xf numFmtId="0" fontId="37" fillId="5" borderId="0" xfId="0" applyFont="1" applyFill="1" applyBorder="1"/>
    <xf numFmtId="1" fontId="28" fillId="9" borderId="0" xfId="0" applyNumberFormat="1" applyFont="1" applyFill="1" applyBorder="1" applyAlignment="1">
      <alignment horizontal="center" wrapText="1"/>
    </xf>
    <xf numFmtId="9" fontId="28" fillId="9" borderId="0" xfId="4" applyFont="1" applyFill="1" applyBorder="1" applyAlignment="1">
      <alignment horizontal="center" wrapText="1"/>
    </xf>
    <xf numFmtId="1" fontId="29" fillId="9" borderId="0" xfId="4" applyNumberFormat="1" applyFont="1" applyFill="1" applyBorder="1" applyAlignment="1">
      <alignment horizontal="center"/>
    </xf>
    <xf numFmtId="1" fontId="29" fillId="9" borderId="0" xfId="0" applyNumberFormat="1" applyFont="1" applyFill="1" applyBorder="1" applyAlignment="1">
      <alignment horizontal="center"/>
    </xf>
    <xf numFmtId="2" fontId="28" fillId="9" borderId="0" xfId="0" applyNumberFormat="1" applyFont="1" applyFill="1" applyBorder="1" applyAlignment="1">
      <alignment horizontal="center" wrapText="1"/>
    </xf>
    <xf numFmtId="1" fontId="28" fillId="0" borderId="0" xfId="0" applyNumberFormat="1" applyFont="1" applyFill="1" applyBorder="1"/>
    <xf numFmtId="0" fontId="28" fillId="9" borderId="0" xfId="0" applyFont="1" applyFill="1" applyBorder="1" applyAlignment="1">
      <alignment horizontal="center" wrapText="1"/>
    </xf>
    <xf numFmtId="2" fontId="28" fillId="9" borderId="0" xfId="0" applyNumberFormat="1" applyFont="1" applyFill="1" applyBorder="1"/>
    <xf numFmtId="0" fontId="28" fillId="9" borderId="0" xfId="0" applyFont="1" applyFill="1" applyBorder="1" applyAlignment="1">
      <alignment wrapText="1"/>
    </xf>
    <xf numFmtId="0" fontId="28" fillId="0" borderId="1" xfId="0" applyFont="1" applyBorder="1"/>
    <xf numFmtId="0" fontId="28" fillId="9" borderId="0" xfId="0" applyNumberFormat="1" applyFont="1" applyFill="1" applyBorder="1" applyAlignment="1">
      <alignment wrapText="1"/>
    </xf>
    <xf numFmtId="0" fontId="28" fillId="9" borderId="6" xfId="0" applyNumberFormat="1" applyFont="1" applyFill="1" applyBorder="1" applyAlignment="1">
      <alignment wrapText="1"/>
    </xf>
    <xf numFmtId="0" fontId="41" fillId="9" borderId="24" xfId="0" applyFont="1" applyFill="1" applyBorder="1" applyAlignment="1">
      <alignment vertical="top" wrapText="1"/>
    </xf>
    <xf numFmtId="0" fontId="41" fillId="9" borderId="24" xfId="0" applyNumberFormat="1" applyFont="1" applyFill="1" applyBorder="1" applyAlignment="1">
      <alignment vertical="top"/>
    </xf>
    <xf numFmtId="0" fontId="28" fillId="12" borderId="0" xfId="0" applyFont="1" applyFill="1" applyBorder="1" applyAlignment="1">
      <alignment horizontal="right"/>
    </xf>
    <xf numFmtId="0" fontId="28" fillId="10" borderId="0" xfId="0" applyFont="1" applyFill="1" applyBorder="1" applyAlignment="1">
      <alignment horizontal="right"/>
    </xf>
    <xf numFmtId="164" fontId="28" fillId="9" borderId="0" xfId="0" applyNumberFormat="1" applyFont="1" applyFill="1" applyBorder="1" applyAlignment="1">
      <alignment horizontal="right"/>
    </xf>
    <xf numFmtId="0" fontId="28" fillId="9" borderId="0" xfId="0" applyFont="1" applyFill="1" applyBorder="1" applyAlignment="1">
      <alignment horizontal="right" vertical="top" wrapText="1"/>
    </xf>
    <xf numFmtId="0" fontId="28" fillId="10" borderId="0" xfId="0" applyFont="1" applyFill="1" applyBorder="1" applyAlignment="1">
      <alignment horizontal="right" vertical="top" wrapText="1"/>
    </xf>
    <xf numFmtId="9" fontId="28" fillId="9" borderId="0" xfId="4" applyFont="1" applyFill="1" applyBorder="1" applyAlignment="1">
      <alignment horizontal="right" vertical="top" wrapText="1"/>
    </xf>
    <xf numFmtId="0" fontId="28" fillId="9" borderId="0" xfId="0" applyNumberFormat="1" applyFont="1" applyFill="1" applyBorder="1" applyAlignment="1">
      <alignment horizontal="right" vertical="top" wrapText="1"/>
    </xf>
    <xf numFmtId="1" fontId="28" fillId="9" borderId="0" xfId="0" applyNumberFormat="1" applyFont="1" applyFill="1" applyBorder="1" applyAlignment="1">
      <alignment horizontal="right" vertical="top" wrapText="1"/>
    </xf>
    <xf numFmtId="0" fontId="28" fillId="9" borderId="0" xfId="0" applyFont="1" applyFill="1" applyBorder="1" applyAlignment="1">
      <alignment horizontal="right" vertical="center" wrapText="1"/>
    </xf>
    <xf numFmtId="9" fontId="28" fillId="9" borderId="0" xfId="4" applyFont="1" applyFill="1" applyBorder="1" applyAlignment="1">
      <alignment horizontal="right"/>
    </xf>
    <xf numFmtId="2" fontId="0" fillId="4" borderId="33" xfId="0" applyNumberFormat="1" applyFill="1" applyBorder="1" applyAlignment="1">
      <alignment horizontal="center"/>
    </xf>
    <xf numFmtId="2" fontId="0" fillId="4" borderId="34" xfId="0" applyNumberFormat="1" applyFill="1" applyBorder="1" applyAlignment="1">
      <alignment horizontal="center"/>
    </xf>
    <xf numFmtId="0" fontId="0" fillId="4" borderId="33" xfId="0" applyFill="1" applyBorder="1" applyAlignment="1">
      <alignment horizontal="center"/>
    </xf>
    <xf numFmtId="0" fontId="0" fillId="4" borderId="34" xfId="0" applyFill="1" applyBorder="1" applyAlignment="1">
      <alignment horizontal="center"/>
    </xf>
    <xf numFmtId="0" fontId="5" fillId="0" borderId="32" xfId="0" applyFont="1" applyBorder="1" applyAlignment="1">
      <alignment horizontal="center" vertical="top" wrapText="1"/>
    </xf>
    <xf numFmtId="0" fontId="5" fillId="0" borderId="8" xfId="0" applyFont="1" applyBorder="1" applyAlignment="1">
      <alignment horizontal="center" vertical="top" wrapText="1"/>
    </xf>
    <xf numFmtId="0" fontId="5" fillId="0" borderId="32" xfId="0" applyFont="1" applyBorder="1" applyAlignment="1">
      <alignment horizontal="justify" vertical="top" wrapText="1"/>
    </xf>
    <xf numFmtId="0" fontId="5" fillId="0" borderId="8" xfId="0" applyFont="1" applyBorder="1" applyAlignment="1">
      <alignment horizontal="justify" vertical="top" wrapText="1"/>
    </xf>
    <xf numFmtId="0" fontId="6" fillId="0" borderId="29" xfId="0" applyFont="1" applyBorder="1" applyAlignment="1">
      <alignment horizontal="center" vertical="top" wrapText="1"/>
    </xf>
    <xf numFmtId="0" fontId="6"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0" xfId="0" applyFont="1" applyBorder="1" applyAlignment="1">
      <alignment horizontal="center" vertical="top" wrapText="1"/>
    </xf>
    <xf numFmtId="0" fontId="5" fillId="0" borderId="5" xfId="0" applyFont="1" applyBorder="1" applyAlignment="1">
      <alignment horizontal="center" vertical="top" wrapText="1"/>
    </xf>
    <xf numFmtId="0" fontId="5" fillId="0" borderId="32" xfId="0" applyFont="1" applyBorder="1" applyAlignment="1">
      <alignment horizontal="center" wrapText="1"/>
    </xf>
    <xf numFmtId="0" fontId="5" fillId="0" borderId="5" xfId="0" applyFont="1" applyBorder="1" applyAlignment="1">
      <alignment horizontal="center" wrapText="1"/>
    </xf>
    <xf numFmtId="0" fontId="5" fillId="0" borderId="8" xfId="0" applyFont="1" applyBorder="1" applyAlignment="1">
      <alignment horizontal="center" wrapText="1"/>
    </xf>
    <xf numFmtId="0" fontId="5" fillId="0" borderId="31" xfId="0" applyFont="1" applyBorder="1" applyAlignment="1">
      <alignment horizontal="justify" vertical="top" wrapText="1"/>
    </xf>
    <xf numFmtId="0" fontId="5" fillId="0" borderId="31" xfId="0" applyFont="1" applyBorder="1" applyAlignment="1">
      <alignment horizontal="center" vertical="top" wrapText="1"/>
    </xf>
  </cellXfs>
  <cellStyles count="5">
    <cellStyle name="Hyperlink" xfId="1" builtinId="8"/>
    <cellStyle name="Normal 2" xfId="2"/>
    <cellStyle name="Normal 3" xfId="3"/>
    <cellStyle name="Procent" xfId="4" builtinId="5"/>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13</xdr:col>
      <xdr:colOff>190500</xdr:colOff>
      <xdr:row>17</xdr:row>
      <xdr:rowOff>57150</xdr:rowOff>
    </xdr:from>
    <xdr:to>
      <xdr:col>21</xdr:col>
      <xdr:colOff>514350</xdr:colOff>
      <xdr:row>35</xdr:row>
      <xdr:rowOff>85725</xdr:rowOff>
    </xdr:to>
    <xdr:pic>
      <xdr:nvPicPr>
        <xdr:cNvPr id="1025" name="Picture 4" descr="Diagram rekenmethodiek 2.pn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86850" y="2981325"/>
          <a:ext cx="5200650" cy="3114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495300</xdr:colOff>
      <xdr:row>109</xdr:row>
      <xdr:rowOff>0</xdr:rowOff>
    </xdr:from>
    <xdr:to>
      <xdr:col>15</xdr:col>
      <xdr:colOff>238125</xdr:colOff>
      <xdr:row>109</xdr:row>
      <xdr:rowOff>0</xdr:rowOff>
    </xdr:to>
    <xdr:pic>
      <xdr:nvPicPr>
        <xdr:cNvPr id="9217"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53125" y="18811875"/>
          <a:ext cx="60864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6"/>
  </sheetPr>
  <dimension ref="A1:AP39"/>
  <sheetViews>
    <sheetView tabSelected="1" workbookViewId="0">
      <selection activeCell="L35" sqref="L35"/>
    </sheetView>
  </sheetViews>
  <sheetFormatPr defaultRowHeight="13.5" x14ac:dyDescent="0.25"/>
  <cols>
    <col min="1" max="1" width="5" style="208" customWidth="1"/>
    <col min="2" max="11" width="9.140625" style="208"/>
    <col min="12" max="12" width="27.85546875" style="208" customWidth="1"/>
    <col min="13" max="23" width="9.140625" style="208"/>
    <col min="24" max="42" width="9.140625" style="298"/>
    <col min="43" max="16384" width="9.140625" style="299"/>
  </cols>
  <sheetData>
    <row r="1" spans="2:22" ht="14.25" thickBot="1" x14ac:dyDescent="0.3">
      <c r="B1" s="212"/>
      <c r="C1" s="212"/>
      <c r="D1" s="212"/>
      <c r="E1" s="212"/>
      <c r="F1" s="212"/>
      <c r="G1" s="212"/>
      <c r="H1" s="212"/>
      <c r="I1" s="212"/>
      <c r="J1" s="212"/>
      <c r="K1" s="212"/>
      <c r="L1" s="212"/>
      <c r="M1" s="212"/>
      <c r="N1" s="212"/>
      <c r="O1" s="212"/>
      <c r="P1" s="212"/>
      <c r="Q1" s="212"/>
      <c r="R1" s="212"/>
      <c r="S1" s="212"/>
      <c r="T1" s="212"/>
      <c r="U1" s="212"/>
      <c r="V1" s="212"/>
    </row>
    <row r="2" spans="2:22" x14ac:dyDescent="0.25">
      <c r="B2" s="314" t="s">
        <v>466</v>
      </c>
      <c r="C2" s="315"/>
      <c r="D2" s="315"/>
      <c r="E2" s="269"/>
      <c r="F2" s="269"/>
      <c r="G2" s="269"/>
      <c r="H2" s="269"/>
      <c r="I2" s="269"/>
      <c r="J2" s="269"/>
      <c r="K2" s="269"/>
      <c r="L2" s="269"/>
      <c r="M2" s="269"/>
      <c r="N2" s="269"/>
      <c r="O2" s="269"/>
      <c r="P2" s="269"/>
      <c r="Q2" s="269"/>
      <c r="R2" s="269"/>
      <c r="S2" s="269"/>
      <c r="T2" s="269"/>
      <c r="U2" s="269"/>
      <c r="V2" s="316"/>
    </row>
    <row r="3" spans="2:22" x14ac:dyDescent="0.25">
      <c r="B3" s="317"/>
      <c r="C3" s="300"/>
      <c r="D3" s="300"/>
      <c r="E3" s="212"/>
      <c r="F3" s="212"/>
      <c r="G3" s="212"/>
      <c r="H3" s="212"/>
      <c r="I3" s="212"/>
      <c r="J3" s="212"/>
      <c r="K3" s="212"/>
      <c r="L3" s="212"/>
      <c r="M3" s="212"/>
      <c r="N3" s="212"/>
      <c r="O3" s="212"/>
      <c r="P3" s="212"/>
      <c r="Q3" s="212"/>
      <c r="R3" s="212"/>
      <c r="S3" s="212"/>
      <c r="T3" s="212"/>
      <c r="U3" s="212"/>
      <c r="V3" s="214"/>
    </row>
    <row r="4" spans="2:22" x14ac:dyDescent="0.25">
      <c r="B4" s="223" t="s">
        <v>465</v>
      </c>
      <c r="C4" s="300"/>
      <c r="D4" s="300"/>
      <c r="E4" s="212"/>
      <c r="F4" s="212"/>
      <c r="G4" s="212"/>
      <c r="H4" s="212"/>
      <c r="I4" s="212"/>
      <c r="J4" s="212"/>
      <c r="K4" s="212"/>
      <c r="L4" s="212"/>
      <c r="M4" s="212"/>
      <c r="N4" s="212"/>
      <c r="O4" s="212"/>
      <c r="P4" s="212"/>
      <c r="Q4" s="212"/>
      <c r="R4" s="212"/>
      <c r="S4" s="212"/>
      <c r="T4" s="212"/>
      <c r="U4" s="212"/>
      <c r="V4" s="214"/>
    </row>
    <row r="5" spans="2:22" x14ac:dyDescent="0.25">
      <c r="B5" s="223" t="s">
        <v>467</v>
      </c>
      <c r="C5" s="300"/>
      <c r="D5" s="300"/>
      <c r="E5" s="212"/>
      <c r="F5" s="212"/>
      <c r="G5" s="212"/>
      <c r="H5" s="212"/>
      <c r="I5" s="212"/>
      <c r="J5" s="212"/>
      <c r="K5" s="212"/>
      <c r="L5" s="212"/>
      <c r="M5" s="212"/>
      <c r="N5" s="212"/>
      <c r="O5" s="212"/>
      <c r="P5" s="212"/>
      <c r="Q5" s="212"/>
      <c r="R5" s="212"/>
      <c r="S5" s="212"/>
      <c r="T5" s="212"/>
      <c r="U5" s="212"/>
      <c r="V5" s="214"/>
    </row>
    <row r="6" spans="2:22" x14ac:dyDescent="0.25">
      <c r="B6" s="223"/>
      <c r="C6" s="212"/>
      <c r="D6" s="212"/>
      <c r="E6" s="212"/>
      <c r="F6" s="212"/>
      <c r="G6" s="212"/>
      <c r="H6" s="212"/>
      <c r="I6" s="212"/>
      <c r="J6" s="212"/>
      <c r="K6" s="212"/>
      <c r="L6" s="212"/>
      <c r="M6" s="212"/>
      <c r="N6" s="212"/>
      <c r="O6" s="212"/>
      <c r="P6" s="212"/>
      <c r="Q6" s="212"/>
      <c r="R6" s="212"/>
      <c r="S6" s="212"/>
      <c r="T6" s="212"/>
      <c r="U6" s="212"/>
      <c r="V6" s="214"/>
    </row>
    <row r="7" spans="2:22" x14ac:dyDescent="0.25">
      <c r="B7" s="318" t="s">
        <v>481</v>
      </c>
      <c r="C7" s="319" t="s">
        <v>479</v>
      </c>
      <c r="D7" s="319"/>
      <c r="E7" s="319"/>
      <c r="F7" s="319"/>
      <c r="G7" s="319"/>
      <c r="H7" s="319"/>
      <c r="I7" s="319"/>
      <c r="J7" s="212"/>
      <c r="K7" s="212"/>
      <c r="L7" s="212"/>
      <c r="M7" s="212"/>
      <c r="N7" s="212"/>
      <c r="O7" s="212"/>
      <c r="P7" s="212"/>
      <c r="Q7" s="212"/>
      <c r="R7" s="212"/>
      <c r="S7" s="212"/>
      <c r="T7" s="212"/>
      <c r="U7" s="212"/>
      <c r="V7" s="214"/>
    </row>
    <row r="8" spans="2:22" x14ac:dyDescent="0.25">
      <c r="B8" s="223"/>
      <c r="C8" s="212"/>
      <c r="D8" s="212"/>
      <c r="E8" s="212"/>
      <c r="F8" s="212"/>
      <c r="G8" s="212"/>
      <c r="H8" s="212"/>
      <c r="I8" s="212"/>
      <c r="J8" s="212"/>
      <c r="K8" s="212"/>
      <c r="L8" s="212"/>
      <c r="M8" s="212"/>
      <c r="N8" s="212"/>
      <c r="O8" s="212"/>
      <c r="P8" s="212"/>
      <c r="Q8" s="212"/>
      <c r="R8" s="212"/>
      <c r="S8" s="212"/>
      <c r="T8" s="212"/>
      <c r="U8" s="212"/>
      <c r="V8" s="214"/>
    </row>
    <row r="9" spans="2:22" x14ac:dyDescent="0.25">
      <c r="B9" s="317" t="s">
        <v>468</v>
      </c>
      <c r="C9" s="212"/>
      <c r="D9" s="212"/>
      <c r="E9" s="212"/>
      <c r="F9" s="212"/>
      <c r="G9" s="212"/>
      <c r="H9" s="212"/>
      <c r="I9" s="212"/>
      <c r="J9" s="212"/>
      <c r="K9" s="212"/>
      <c r="L9" s="212"/>
      <c r="M9" s="212"/>
      <c r="N9" s="212"/>
      <c r="O9" s="212"/>
      <c r="P9" s="212"/>
      <c r="Q9" s="212"/>
      <c r="R9" s="212"/>
      <c r="S9" s="212"/>
      <c r="T9" s="212"/>
      <c r="U9" s="212"/>
      <c r="V9" s="214"/>
    </row>
    <row r="10" spans="2:22" x14ac:dyDescent="0.25">
      <c r="B10" s="223"/>
      <c r="C10" s="212"/>
      <c r="D10" s="212"/>
      <c r="E10" s="212"/>
      <c r="F10" s="212"/>
      <c r="G10" s="212"/>
      <c r="H10" s="212"/>
      <c r="I10" s="212"/>
      <c r="J10" s="212"/>
      <c r="K10" s="212"/>
      <c r="L10" s="212"/>
      <c r="M10" s="212"/>
      <c r="N10" s="212"/>
      <c r="O10" s="212"/>
      <c r="P10" s="212"/>
      <c r="Q10" s="212"/>
      <c r="R10" s="212"/>
      <c r="S10" s="212"/>
      <c r="T10" s="212"/>
      <c r="U10" s="212"/>
      <c r="V10" s="214"/>
    </row>
    <row r="11" spans="2:22" x14ac:dyDescent="0.25">
      <c r="B11" s="223">
        <v>1</v>
      </c>
      <c r="C11" s="212" t="s">
        <v>257</v>
      </c>
      <c r="D11" s="212"/>
      <c r="E11" s="212"/>
      <c r="F11" s="212"/>
      <c r="G11" s="212"/>
      <c r="H11" s="212"/>
      <c r="I11" s="212"/>
      <c r="J11" s="212"/>
      <c r="K11" s="212"/>
      <c r="L11" s="212"/>
      <c r="M11" s="212"/>
      <c r="N11" s="212"/>
      <c r="O11" s="212"/>
      <c r="P11" s="212"/>
      <c r="Q11" s="212"/>
      <c r="R11" s="212"/>
      <c r="S11" s="212"/>
      <c r="T11" s="212"/>
      <c r="U11" s="212"/>
      <c r="V11" s="214"/>
    </row>
    <row r="12" spans="2:22" x14ac:dyDescent="0.25">
      <c r="B12" s="223"/>
      <c r="C12" s="212"/>
      <c r="D12" s="212" t="s">
        <v>482</v>
      </c>
      <c r="E12" s="212"/>
      <c r="F12" s="212"/>
      <c r="G12" s="212"/>
      <c r="H12" s="212"/>
      <c r="I12" s="212"/>
      <c r="J12" s="212"/>
      <c r="K12" s="212"/>
      <c r="L12" s="300"/>
      <c r="M12" s="300" t="s">
        <v>471</v>
      </c>
      <c r="N12" s="212"/>
      <c r="O12" s="212"/>
      <c r="P12" s="212"/>
      <c r="Q12" s="212"/>
      <c r="R12" s="212"/>
      <c r="S12" s="212"/>
      <c r="T12" s="212"/>
      <c r="U12" s="212"/>
      <c r="V12" s="214"/>
    </row>
    <row r="13" spans="2:22" x14ac:dyDescent="0.25">
      <c r="B13" s="223"/>
      <c r="C13" s="212"/>
      <c r="D13" s="212"/>
      <c r="E13" s="212"/>
      <c r="F13" s="212" t="s">
        <v>469</v>
      </c>
      <c r="G13" s="212"/>
      <c r="H13" s="212"/>
      <c r="I13" s="212"/>
      <c r="J13" s="212"/>
      <c r="K13" s="212"/>
      <c r="L13" s="212"/>
      <c r="M13" s="212"/>
      <c r="N13" s="212"/>
      <c r="O13" s="212"/>
      <c r="P13" s="212"/>
      <c r="Q13" s="212"/>
      <c r="R13" s="212"/>
      <c r="S13" s="212"/>
      <c r="T13" s="212"/>
      <c r="U13" s="212"/>
      <c r="V13" s="214"/>
    </row>
    <row r="14" spans="2:22" x14ac:dyDescent="0.25">
      <c r="B14" s="223"/>
      <c r="C14" s="212"/>
      <c r="D14" s="212"/>
      <c r="E14" s="320" t="s">
        <v>470</v>
      </c>
      <c r="F14" s="212"/>
      <c r="G14" s="212"/>
      <c r="H14" s="212"/>
      <c r="I14" s="212"/>
      <c r="J14" s="212"/>
      <c r="K14" s="212"/>
      <c r="L14" s="212"/>
      <c r="M14" s="212"/>
      <c r="N14" s="212"/>
      <c r="O14" s="212"/>
      <c r="P14" s="212"/>
      <c r="Q14" s="212"/>
      <c r="R14" s="212"/>
      <c r="S14" s="212"/>
      <c r="T14" s="212"/>
      <c r="U14" s="212"/>
      <c r="V14" s="214"/>
    </row>
    <row r="15" spans="2:22" x14ac:dyDescent="0.25">
      <c r="B15" s="223"/>
      <c r="C15" s="212"/>
      <c r="D15" s="212"/>
      <c r="E15" s="320" t="s">
        <v>462</v>
      </c>
      <c r="F15" s="212"/>
      <c r="G15" s="212"/>
      <c r="H15" s="212"/>
      <c r="I15" s="212"/>
      <c r="J15" s="212"/>
      <c r="K15" s="212"/>
      <c r="L15" s="212"/>
      <c r="M15" s="212"/>
      <c r="N15" s="212"/>
      <c r="O15" s="212"/>
      <c r="P15" s="212"/>
      <c r="Q15" s="212"/>
      <c r="R15" s="212"/>
      <c r="S15" s="212"/>
      <c r="T15" s="212"/>
      <c r="U15" s="212"/>
      <c r="V15" s="214"/>
    </row>
    <row r="16" spans="2:22" x14ac:dyDescent="0.25">
      <c r="B16" s="223"/>
      <c r="C16" s="212"/>
      <c r="D16" s="212"/>
      <c r="E16" s="320" t="s">
        <v>451</v>
      </c>
      <c r="F16" s="212"/>
      <c r="G16" s="212"/>
      <c r="H16" s="212"/>
      <c r="I16" s="212"/>
      <c r="J16" s="212"/>
      <c r="K16" s="212"/>
      <c r="L16" s="212"/>
      <c r="M16" s="212"/>
      <c r="N16" s="212"/>
      <c r="O16" s="212"/>
      <c r="P16" s="212"/>
      <c r="Q16" s="212"/>
      <c r="R16" s="212"/>
      <c r="S16" s="212"/>
      <c r="T16" s="212"/>
      <c r="U16" s="212"/>
      <c r="V16" s="214"/>
    </row>
    <row r="17" spans="2:22" x14ac:dyDescent="0.25">
      <c r="B17" s="223"/>
      <c r="C17" s="212"/>
      <c r="D17" s="212"/>
      <c r="E17" s="320" t="s">
        <v>440</v>
      </c>
      <c r="F17" s="212"/>
      <c r="G17" s="212"/>
      <c r="H17" s="212"/>
      <c r="I17" s="212"/>
      <c r="J17" s="212"/>
      <c r="K17" s="212"/>
      <c r="L17" s="212"/>
      <c r="M17" s="212"/>
      <c r="N17" s="212"/>
      <c r="O17" s="212"/>
      <c r="P17" s="212"/>
      <c r="Q17" s="212"/>
      <c r="R17" s="212"/>
      <c r="S17" s="212"/>
      <c r="T17" s="212"/>
      <c r="U17" s="212"/>
      <c r="V17" s="214"/>
    </row>
    <row r="18" spans="2:22" x14ac:dyDescent="0.25">
      <c r="B18" s="223"/>
      <c r="C18" s="212"/>
      <c r="D18" s="212"/>
      <c r="E18" s="212"/>
      <c r="F18" s="212"/>
      <c r="G18" s="212"/>
      <c r="H18" s="212"/>
      <c r="I18" s="212"/>
      <c r="J18" s="212"/>
      <c r="K18" s="212"/>
      <c r="L18" s="212"/>
      <c r="M18" s="212"/>
      <c r="N18" s="212"/>
      <c r="O18" s="212"/>
      <c r="P18" s="212"/>
      <c r="Q18" s="212"/>
      <c r="R18" s="212"/>
      <c r="S18" s="212"/>
      <c r="T18" s="212"/>
      <c r="U18" s="212"/>
      <c r="V18" s="214"/>
    </row>
    <row r="19" spans="2:22" x14ac:dyDescent="0.25">
      <c r="B19" s="223">
        <v>2</v>
      </c>
      <c r="C19" s="212" t="s">
        <v>472</v>
      </c>
      <c r="D19" s="212"/>
      <c r="E19" s="212"/>
      <c r="F19" s="212"/>
      <c r="G19" s="212"/>
      <c r="H19" s="212"/>
      <c r="I19" s="212"/>
      <c r="J19" s="212"/>
      <c r="K19" s="212"/>
      <c r="L19" s="212"/>
      <c r="M19" s="212"/>
      <c r="N19" s="212"/>
      <c r="O19" s="212"/>
      <c r="P19" s="212"/>
      <c r="Q19" s="212"/>
      <c r="R19" s="212"/>
      <c r="S19" s="212"/>
      <c r="T19" s="212"/>
      <c r="U19" s="212"/>
      <c r="V19" s="214"/>
    </row>
    <row r="20" spans="2:22" x14ac:dyDescent="0.25">
      <c r="B20" s="223"/>
      <c r="C20" s="212"/>
      <c r="D20" s="212"/>
      <c r="E20" s="212"/>
      <c r="F20" s="212"/>
      <c r="G20" s="212"/>
      <c r="H20" s="212"/>
      <c r="I20" s="212"/>
      <c r="J20" s="212"/>
      <c r="K20" s="212"/>
      <c r="L20" s="212"/>
      <c r="M20" s="212"/>
      <c r="N20" s="212"/>
      <c r="O20" s="212"/>
      <c r="P20" s="212"/>
      <c r="Q20" s="212"/>
      <c r="R20" s="212"/>
      <c r="S20" s="212"/>
      <c r="T20" s="212"/>
      <c r="U20" s="212"/>
      <c r="V20" s="214"/>
    </row>
    <row r="21" spans="2:22" x14ac:dyDescent="0.25">
      <c r="B21" s="223">
        <v>3</v>
      </c>
      <c r="C21" s="212" t="s">
        <v>473</v>
      </c>
      <c r="D21" s="212"/>
      <c r="E21" s="212"/>
      <c r="F21" s="212"/>
      <c r="G21" s="212"/>
      <c r="H21" s="212"/>
      <c r="I21" s="212"/>
      <c r="J21" s="212"/>
      <c r="K21" s="212"/>
      <c r="L21" s="212"/>
      <c r="M21" s="212"/>
      <c r="N21" s="212"/>
      <c r="O21" s="212"/>
      <c r="P21" s="212"/>
      <c r="Q21" s="212"/>
      <c r="R21" s="212"/>
      <c r="S21" s="212"/>
      <c r="T21" s="212"/>
      <c r="U21" s="212"/>
      <c r="V21" s="214"/>
    </row>
    <row r="22" spans="2:22" x14ac:dyDescent="0.25">
      <c r="B22" s="223"/>
      <c r="C22" s="212"/>
      <c r="D22" s="212"/>
      <c r="E22" s="212"/>
      <c r="F22" s="212"/>
      <c r="G22" s="212"/>
      <c r="H22" s="212"/>
      <c r="I22" s="212"/>
      <c r="J22" s="212"/>
      <c r="K22" s="212"/>
      <c r="L22" s="212"/>
      <c r="M22" s="212"/>
      <c r="N22" s="212"/>
      <c r="O22" s="212"/>
      <c r="P22" s="212"/>
      <c r="Q22" s="212"/>
      <c r="R22" s="212"/>
      <c r="S22" s="212"/>
      <c r="T22" s="212"/>
      <c r="U22" s="212"/>
      <c r="V22" s="214"/>
    </row>
    <row r="23" spans="2:22" x14ac:dyDescent="0.25">
      <c r="B23" s="223">
        <v>4</v>
      </c>
      <c r="C23" s="212" t="s">
        <v>463</v>
      </c>
      <c r="D23" s="212"/>
      <c r="E23" s="212"/>
      <c r="F23" s="212"/>
      <c r="G23" s="212"/>
      <c r="H23" s="212"/>
      <c r="I23" s="212"/>
      <c r="J23" s="212"/>
      <c r="K23" s="212"/>
      <c r="L23" s="212"/>
      <c r="M23" s="212"/>
      <c r="N23" s="212"/>
      <c r="O23" s="212"/>
      <c r="P23" s="212"/>
      <c r="Q23" s="212"/>
      <c r="R23" s="212"/>
      <c r="S23" s="212"/>
      <c r="T23" s="212"/>
      <c r="U23" s="212"/>
      <c r="V23" s="214"/>
    </row>
    <row r="24" spans="2:22" x14ac:dyDescent="0.25">
      <c r="B24" s="223"/>
      <c r="C24" s="212" t="s">
        <v>464</v>
      </c>
      <c r="D24" s="212"/>
      <c r="E24" s="212"/>
      <c r="F24" s="212"/>
      <c r="G24" s="212"/>
      <c r="H24" s="212"/>
      <c r="I24" s="212"/>
      <c r="J24" s="212"/>
      <c r="K24" s="212"/>
      <c r="L24" s="212"/>
      <c r="M24" s="212"/>
      <c r="N24" s="212"/>
      <c r="O24" s="212"/>
      <c r="P24" s="212"/>
      <c r="Q24" s="212"/>
      <c r="R24" s="212"/>
      <c r="S24" s="212"/>
      <c r="T24" s="212"/>
      <c r="U24" s="212"/>
      <c r="V24" s="214"/>
    </row>
    <row r="25" spans="2:22" x14ac:dyDescent="0.25">
      <c r="B25" s="223"/>
      <c r="C25" s="212"/>
      <c r="D25" s="212"/>
      <c r="E25" s="212"/>
      <c r="F25" s="212"/>
      <c r="G25" s="212"/>
      <c r="H25" s="212"/>
      <c r="I25" s="212"/>
      <c r="J25" s="212"/>
      <c r="K25" s="212"/>
      <c r="L25" s="212"/>
      <c r="M25" s="212"/>
      <c r="N25" s="212"/>
      <c r="O25" s="212"/>
      <c r="P25" s="212"/>
      <c r="Q25" s="212"/>
      <c r="R25" s="212"/>
      <c r="S25" s="212"/>
      <c r="T25" s="212"/>
      <c r="U25" s="212"/>
      <c r="V25" s="214"/>
    </row>
    <row r="26" spans="2:22" x14ac:dyDescent="0.25">
      <c r="B26" s="223">
        <v>5</v>
      </c>
      <c r="C26" s="212" t="s">
        <v>474</v>
      </c>
      <c r="D26" s="212"/>
      <c r="E26" s="212"/>
      <c r="F26" s="212"/>
      <c r="G26" s="212"/>
      <c r="H26" s="212"/>
      <c r="I26" s="212"/>
      <c r="J26" s="212"/>
      <c r="K26" s="212"/>
      <c r="L26" s="212"/>
      <c r="M26" s="212"/>
      <c r="N26" s="212"/>
      <c r="O26" s="212"/>
      <c r="P26" s="212"/>
      <c r="Q26" s="212"/>
      <c r="R26" s="212"/>
      <c r="S26" s="212"/>
      <c r="T26" s="212"/>
      <c r="U26" s="212"/>
      <c r="V26" s="214"/>
    </row>
    <row r="27" spans="2:22" x14ac:dyDescent="0.25">
      <c r="B27" s="223"/>
      <c r="C27" s="212"/>
      <c r="D27" s="212"/>
      <c r="E27" s="212"/>
      <c r="F27" s="212"/>
      <c r="G27" s="212"/>
      <c r="H27" s="212"/>
      <c r="I27" s="212"/>
      <c r="J27" s="212"/>
      <c r="K27" s="212"/>
      <c r="L27" s="212"/>
      <c r="M27" s="212"/>
      <c r="N27" s="212"/>
      <c r="O27" s="212"/>
      <c r="P27" s="212"/>
      <c r="Q27" s="212"/>
      <c r="R27" s="212"/>
      <c r="S27" s="212"/>
      <c r="T27" s="212"/>
      <c r="U27" s="212"/>
      <c r="V27" s="214"/>
    </row>
    <row r="28" spans="2:22" x14ac:dyDescent="0.25">
      <c r="B28" s="223"/>
      <c r="C28" s="212"/>
      <c r="D28" s="212"/>
      <c r="E28" s="212"/>
      <c r="F28" s="212"/>
      <c r="G28" s="212"/>
      <c r="H28" s="212"/>
      <c r="I28" s="212"/>
      <c r="J28" s="212"/>
      <c r="K28" s="212"/>
      <c r="L28" s="212"/>
      <c r="M28" s="212"/>
      <c r="N28" s="212"/>
      <c r="O28" s="212"/>
      <c r="P28" s="212"/>
      <c r="Q28" s="212"/>
      <c r="R28" s="212"/>
      <c r="S28" s="212"/>
      <c r="T28" s="212"/>
      <c r="U28" s="212"/>
      <c r="V28" s="214"/>
    </row>
    <row r="29" spans="2:22" x14ac:dyDescent="0.25">
      <c r="B29" s="317" t="s">
        <v>475</v>
      </c>
      <c r="C29" s="212"/>
      <c r="D29" s="212"/>
      <c r="E29" s="212"/>
      <c r="F29" s="212"/>
      <c r="G29" s="212"/>
      <c r="H29" s="212"/>
      <c r="I29" s="212"/>
      <c r="J29" s="212"/>
      <c r="K29" s="212"/>
      <c r="L29" s="212"/>
      <c r="M29" s="212"/>
      <c r="N29" s="212"/>
      <c r="O29" s="212"/>
      <c r="P29" s="212"/>
      <c r="Q29" s="212"/>
      <c r="R29" s="212"/>
      <c r="S29" s="212"/>
      <c r="T29" s="212"/>
      <c r="U29" s="212"/>
      <c r="V29" s="214"/>
    </row>
    <row r="30" spans="2:22" x14ac:dyDescent="0.25">
      <c r="B30" s="223"/>
      <c r="C30" s="212"/>
      <c r="D30" s="212"/>
      <c r="E30" s="212"/>
      <c r="F30" s="212"/>
      <c r="G30" s="212"/>
      <c r="H30" s="212"/>
      <c r="I30" s="212"/>
      <c r="J30" s="212"/>
      <c r="K30" s="212"/>
      <c r="L30" s="212"/>
      <c r="M30" s="212"/>
      <c r="N30" s="212"/>
      <c r="O30" s="212"/>
      <c r="P30" s="212"/>
      <c r="Q30" s="212"/>
      <c r="R30" s="212"/>
      <c r="S30" s="212"/>
      <c r="T30" s="212"/>
      <c r="U30" s="212"/>
      <c r="V30" s="214"/>
    </row>
    <row r="31" spans="2:22" x14ac:dyDescent="0.25">
      <c r="B31" s="223"/>
      <c r="C31" s="212" t="s">
        <v>476</v>
      </c>
      <c r="D31" s="212"/>
      <c r="E31" s="212"/>
      <c r="F31" s="212"/>
      <c r="G31" s="212"/>
      <c r="H31" s="212"/>
      <c r="I31" s="212"/>
      <c r="J31" s="212" t="s">
        <v>478</v>
      </c>
      <c r="K31" s="212"/>
      <c r="L31" s="212" t="s">
        <v>453</v>
      </c>
      <c r="M31" s="212"/>
      <c r="N31" s="212"/>
      <c r="O31" s="212"/>
      <c r="P31" s="212"/>
      <c r="Q31" s="212"/>
      <c r="R31" s="212"/>
      <c r="S31" s="212"/>
      <c r="T31" s="212"/>
      <c r="U31" s="212"/>
      <c r="V31" s="214"/>
    </row>
    <row r="32" spans="2:22" x14ac:dyDescent="0.25">
      <c r="B32" s="223"/>
      <c r="C32" s="320" t="s">
        <v>477</v>
      </c>
      <c r="D32" s="212"/>
      <c r="E32" s="212"/>
      <c r="F32" s="212"/>
      <c r="G32" s="212"/>
      <c r="H32" s="212"/>
      <c r="I32" s="212"/>
      <c r="J32" s="212"/>
      <c r="K32" s="212"/>
      <c r="L32" s="212" t="s">
        <v>456</v>
      </c>
      <c r="M32" s="212"/>
      <c r="N32" s="212"/>
      <c r="O32" s="212"/>
      <c r="P32" s="212"/>
      <c r="Q32" s="212"/>
      <c r="R32" s="212"/>
      <c r="S32" s="212"/>
      <c r="T32" s="212"/>
      <c r="U32" s="212"/>
      <c r="V32" s="214"/>
    </row>
    <row r="33" spans="2:22" x14ac:dyDescent="0.25">
      <c r="B33" s="223"/>
      <c r="C33" s="320" t="s">
        <v>460</v>
      </c>
      <c r="D33" s="212"/>
      <c r="E33" s="212"/>
      <c r="F33" s="212"/>
      <c r="G33" s="212"/>
      <c r="H33" s="212"/>
      <c r="I33" s="212"/>
      <c r="J33" s="212"/>
      <c r="K33" s="212"/>
      <c r="L33" s="212" t="s">
        <v>457</v>
      </c>
      <c r="M33" s="212"/>
      <c r="N33" s="212"/>
      <c r="O33" s="212"/>
      <c r="P33" s="212"/>
      <c r="Q33" s="212"/>
      <c r="R33" s="212"/>
      <c r="S33" s="212"/>
      <c r="T33" s="212"/>
      <c r="U33" s="212"/>
      <c r="V33" s="214"/>
    </row>
    <row r="34" spans="2:22" x14ac:dyDescent="0.25">
      <c r="B34" s="223"/>
      <c r="C34" s="321" t="s">
        <v>461</v>
      </c>
      <c r="D34" s="212"/>
      <c r="E34" s="212"/>
      <c r="F34" s="212"/>
      <c r="G34" s="212"/>
      <c r="H34" s="212"/>
      <c r="I34" s="212"/>
      <c r="J34" s="212"/>
      <c r="K34" s="212"/>
      <c r="L34" s="212" t="s">
        <v>454</v>
      </c>
      <c r="M34" s="212"/>
      <c r="N34" s="212"/>
      <c r="O34" s="212"/>
      <c r="P34" s="212"/>
      <c r="Q34" s="212"/>
      <c r="R34" s="212"/>
      <c r="S34" s="212"/>
      <c r="T34" s="212"/>
      <c r="U34" s="212"/>
      <c r="V34" s="214"/>
    </row>
    <row r="35" spans="2:22" x14ac:dyDescent="0.25">
      <c r="B35" s="223"/>
      <c r="C35" s="212"/>
      <c r="D35" s="212"/>
      <c r="E35" s="212"/>
      <c r="F35" s="212"/>
      <c r="G35" s="212"/>
      <c r="H35" s="212"/>
      <c r="I35" s="212"/>
      <c r="J35" s="212"/>
      <c r="K35" s="212"/>
      <c r="L35" s="212"/>
      <c r="M35" s="212"/>
      <c r="N35" s="212"/>
      <c r="O35" s="212"/>
      <c r="P35" s="212"/>
      <c r="Q35" s="212"/>
      <c r="R35" s="212"/>
      <c r="S35" s="212"/>
      <c r="T35" s="212"/>
      <c r="U35" s="212"/>
      <c r="V35" s="214"/>
    </row>
    <row r="36" spans="2:22" ht="14.25" thickBot="1" x14ac:dyDescent="0.3">
      <c r="B36" s="224"/>
      <c r="C36" s="225"/>
      <c r="D36" s="225"/>
      <c r="E36" s="225"/>
      <c r="F36" s="225"/>
      <c r="G36" s="225"/>
      <c r="H36" s="225"/>
      <c r="I36" s="225"/>
      <c r="J36" s="225"/>
      <c r="K36" s="225"/>
      <c r="L36" s="225"/>
      <c r="M36" s="225"/>
      <c r="N36" s="225"/>
      <c r="O36" s="225"/>
      <c r="P36" s="225"/>
      <c r="Q36" s="225"/>
      <c r="R36" s="225"/>
      <c r="S36" s="225"/>
      <c r="T36" s="225"/>
      <c r="U36" s="225"/>
      <c r="V36" s="227"/>
    </row>
    <row r="37" spans="2:22" x14ac:dyDescent="0.25">
      <c r="B37" s="212"/>
      <c r="C37" s="212"/>
      <c r="D37" s="212"/>
      <c r="E37" s="212"/>
      <c r="F37" s="212"/>
      <c r="G37" s="212"/>
      <c r="H37" s="212"/>
      <c r="I37" s="212"/>
      <c r="J37" s="212"/>
      <c r="K37" s="212"/>
      <c r="L37" s="212"/>
      <c r="M37" s="212"/>
      <c r="N37" s="212"/>
      <c r="O37" s="212"/>
      <c r="P37" s="212"/>
      <c r="Q37" s="212"/>
      <c r="R37" s="212"/>
      <c r="S37" s="212"/>
      <c r="T37" s="212"/>
      <c r="U37" s="212"/>
      <c r="V37" s="212"/>
    </row>
    <row r="38" spans="2:22" x14ac:dyDescent="0.25">
      <c r="B38" s="212"/>
      <c r="C38" s="212"/>
      <c r="D38" s="212"/>
      <c r="E38" s="212"/>
      <c r="F38" s="212"/>
      <c r="G38" s="212"/>
      <c r="H38" s="212"/>
      <c r="I38" s="212"/>
      <c r="J38" s="212"/>
      <c r="K38" s="212"/>
      <c r="L38" s="212"/>
      <c r="M38" s="212"/>
      <c r="N38" s="212"/>
      <c r="O38" s="212"/>
      <c r="P38" s="212"/>
      <c r="Q38" s="212"/>
      <c r="R38" s="212"/>
      <c r="S38" s="212"/>
      <c r="T38" s="212"/>
      <c r="U38" s="212"/>
      <c r="V38" s="212"/>
    </row>
    <row r="39" spans="2:22" x14ac:dyDescent="0.25">
      <c r="B39" s="212"/>
      <c r="C39" s="212"/>
      <c r="D39" s="212"/>
      <c r="E39" s="212"/>
      <c r="F39" s="212"/>
      <c r="G39" s="212"/>
      <c r="H39" s="212"/>
      <c r="I39" s="212"/>
      <c r="J39" s="212"/>
      <c r="K39" s="212"/>
      <c r="L39" s="212"/>
      <c r="M39" s="212"/>
      <c r="N39" s="212"/>
      <c r="O39" s="212"/>
      <c r="P39" s="212"/>
      <c r="Q39" s="212"/>
      <c r="R39" s="212"/>
      <c r="S39" s="212"/>
      <c r="T39" s="212"/>
      <c r="U39" s="212"/>
      <c r="V39" s="212"/>
    </row>
  </sheetData>
  <sheetProtection password="B2FB" sheet="1" objects="1" scenarios="1"/>
  <phoneticPr fontId="2" type="noConversion"/>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6"/>
  </sheetPr>
  <dimension ref="A1:Y339"/>
  <sheetViews>
    <sheetView workbookViewId="0">
      <selection activeCell="E44" sqref="E44"/>
    </sheetView>
  </sheetViews>
  <sheetFormatPr defaultRowHeight="12.75" x14ac:dyDescent="0.2"/>
  <cols>
    <col min="1" max="1" width="6" style="208" customWidth="1"/>
    <col min="2" max="2" width="26.28515625" style="206" customWidth="1"/>
    <col min="3" max="3" width="9.140625" style="206"/>
    <col min="4" max="4" width="9.42578125" style="206" bestFit="1" customWidth="1"/>
    <col min="5" max="14" width="9.140625" style="206"/>
    <col min="15" max="15" width="8.85546875" style="400" customWidth="1"/>
    <col min="16" max="16" width="9.140625" style="206"/>
    <col min="17" max="25" width="9.140625" style="208"/>
    <col min="26" max="16384" width="9.140625" style="206"/>
  </cols>
  <sheetData>
    <row r="1" spans="2:18" x14ac:dyDescent="0.2">
      <c r="B1" s="212"/>
      <c r="C1" s="212"/>
      <c r="D1" s="212"/>
      <c r="E1" s="212"/>
      <c r="F1" s="212"/>
      <c r="G1" s="212"/>
      <c r="H1" s="212"/>
      <c r="I1" s="212"/>
      <c r="J1" s="212"/>
      <c r="K1" s="212"/>
      <c r="L1" s="212"/>
      <c r="M1" s="212"/>
      <c r="N1" s="212"/>
      <c r="O1" s="212"/>
      <c r="P1" s="212"/>
      <c r="Q1" s="212"/>
      <c r="R1" s="212"/>
    </row>
    <row r="2" spans="2:18" x14ac:dyDescent="0.2">
      <c r="B2" s="300" t="s">
        <v>480</v>
      </c>
      <c r="C2" s="212"/>
      <c r="D2" s="212"/>
      <c r="E2" s="212"/>
      <c r="F2" s="212"/>
      <c r="G2" s="212"/>
      <c r="H2" s="212"/>
      <c r="I2" s="212"/>
      <c r="J2" s="212"/>
      <c r="K2" s="212"/>
      <c r="L2" s="212"/>
      <c r="M2" s="212"/>
      <c r="N2" s="212"/>
      <c r="O2" s="212"/>
      <c r="P2" s="212"/>
      <c r="Q2" s="212"/>
      <c r="R2" s="212"/>
    </row>
    <row r="3" spans="2:18" ht="13.5" thickBot="1" x14ac:dyDescent="0.25">
      <c r="B3" s="212"/>
      <c r="C3" s="212"/>
      <c r="D3" s="212"/>
      <c r="E3" s="212"/>
      <c r="F3" s="212"/>
      <c r="G3" s="212"/>
      <c r="H3" s="212"/>
      <c r="I3" s="212"/>
      <c r="J3" s="212"/>
      <c r="K3" s="212"/>
      <c r="L3" s="212"/>
      <c r="M3" s="212"/>
      <c r="N3" s="212"/>
      <c r="O3" s="212"/>
      <c r="P3" s="212"/>
      <c r="Q3" s="212"/>
      <c r="R3" s="212"/>
    </row>
    <row r="4" spans="2:18" x14ac:dyDescent="0.2">
      <c r="B4" s="241" t="s">
        <v>435</v>
      </c>
      <c r="C4" s="242"/>
      <c r="D4" s="242"/>
      <c r="E4" s="242"/>
      <c r="F4" s="242"/>
      <c r="G4" s="242"/>
      <c r="H4" s="242"/>
      <c r="I4" s="242"/>
      <c r="J4" s="242"/>
      <c r="K4" s="242"/>
      <c r="L4" s="242"/>
      <c r="M4" s="242"/>
      <c r="N4" s="242"/>
      <c r="O4" s="242"/>
      <c r="P4" s="244"/>
      <c r="Q4" s="212"/>
      <c r="R4" s="212"/>
    </row>
    <row r="5" spans="2:18" x14ac:dyDescent="0.2">
      <c r="B5" s="245" t="s">
        <v>413</v>
      </c>
      <c r="C5" s="246"/>
      <c r="D5" s="246"/>
      <c r="E5" s="246"/>
      <c r="F5" s="246"/>
      <c r="G5" s="246"/>
      <c r="H5" s="246"/>
      <c r="I5" s="246"/>
      <c r="J5" s="246"/>
      <c r="K5" s="246"/>
      <c r="L5" s="246"/>
      <c r="M5" s="246"/>
      <c r="N5" s="246"/>
      <c r="O5" s="246"/>
      <c r="P5" s="247"/>
      <c r="Q5" s="212"/>
      <c r="R5" s="212"/>
    </row>
    <row r="6" spans="2:18" x14ac:dyDescent="0.2">
      <c r="B6" s="245" t="s">
        <v>414</v>
      </c>
      <c r="C6" s="246"/>
      <c r="D6" s="246"/>
      <c r="E6" s="246"/>
      <c r="F6" s="246"/>
      <c r="G6" s="246"/>
      <c r="H6" s="246"/>
      <c r="I6" s="246"/>
      <c r="J6" s="246"/>
      <c r="K6" s="246"/>
      <c r="L6" s="246"/>
      <c r="M6" s="246"/>
      <c r="N6" s="246"/>
      <c r="O6" s="246"/>
      <c r="P6" s="247"/>
      <c r="Q6" s="212"/>
      <c r="R6" s="212"/>
    </row>
    <row r="7" spans="2:18" x14ac:dyDescent="0.2">
      <c r="B7" s="245"/>
      <c r="C7" s="246"/>
      <c r="D7" s="246"/>
      <c r="E7" s="246"/>
      <c r="F7" s="246"/>
      <c r="G7" s="246"/>
      <c r="H7" s="246"/>
      <c r="I7" s="246"/>
      <c r="J7" s="246"/>
      <c r="K7" s="246"/>
      <c r="L7" s="246"/>
      <c r="M7" s="246"/>
      <c r="N7" s="246"/>
      <c r="O7" s="246"/>
      <c r="P7" s="247"/>
      <c r="Q7" s="212"/>
      <c r="R7" s="212"/>
    </row>
    <row r="8" spans="2:18" ht="13.5" thickBot="1" x14ac:dyDescent="0.25">
      <c r="B8" s="249" t="s">
        <v>498</v>
      </c>
      <c r="C8" s="250"/>
      <c r="D8" s="250"/>
      <c r="E8" s="250"/>
      <c r="F8" s="250"/>
      <c r="G8" s="250"/>
      <c r="H8" s="250"/>
      <c r="I8" s="250"/>
      <c r="J8" s="250"/>
      <c r="K8" s="250"/>
      <c r="L8" s="250"/>
      <c r="M8" s="250"/>
      <c r="N8" s="250"/>
      <c r="O8" s="250"/>
      <c r="P8" s="252"/>
      <c r="Q8" s="212"/>
      <c r="R8" s="212"/>
    </row>
    <row r="9" spans="2:18" ht="13.5" thickBot="1" x14ac:dyDescent="0.25">
      <c r="B9" s="212"/>
      <c r="C9" s="212"/>
      <c r="D9" s="212"/>
      <c r="E9" s="212"/>
      <c r="F9" s="212"/>
      <c r="G9" s="212"/>
      <c r="H9" s="212"/>
      <c r="I9" s="212"/>
      <c r="J9" s="212"/>
      <c r="K9" s="212"/>
      <c r="L9" s="212"/>
      <c r="M9" s="212"/>
      <c r="N9" s="212"/>
      <c r="O9" s="212"/>
      <c r="P9" s="387"/>
      <c r="Q9" s="212"/>
      <c r="R9" s="212"/>
    </row>
    <row r="10" spans="2:18" x14ac:dyDescent="0.2">
      <c r="B10" s="328"/>
      <c r="C10" s="302" t="s">
        <v>3</v>
      </c>
      <c r="D10" s="302" t="s">
        <v>4</v>
      </c>
      <c r="E10" s="302" t="s">
        <v>5</v>
      </c>
      <c r="F10" s="302" t="s">
        <v>6</v>
      </c>
      <c r="G10" s="302" t="s">
        <v>7</v>
      </c>
      <c r="H10" s="302" t="s">
        <v>8</v>
      </c>
      <c r="I10" s="302" t="s">
        <v>9</v>
      </c>
      <c r="J10" s="302" t="s">
        <v>10</v>
      </c>
      <c r="K10" s="302" t="s">
        <v>11</v>
      </c>
      <c r="L10" s="302" t="s">
        <v>12</v>
      </c>
      <c r="M10" s="302" t="s">
        <v>13</v>
      </c>
      <c r="N10" s="302" t="s">
        <v>14</v>
      </c>
      <c r="O10" s="302" t="s">
        <v>15</v>
      </c>
      <c r="P10" s="388"/>
      <c r="Q10" s="212"/>
      <c r="R10" s="212"/>
    </row>
    <row r="11" spans="2:18" x14ac:dyDescent="0.2">
      <c r="B11" s="389" t="s">
        <v>104</v>
      </c>
      <c r="C11" s="390"/>
      <c r="D11" s="390"/>
      <c r="E11" s="390"/>
      <c r="F11" s="390"/>
      <c r="G11" s="390"/>
      <c r="H11" s="390"/>
      <c r="I11" s="390"/>
      <c r="J11" s="390"/>
      <c r="K11" s="390"/>
      <c r="L11" s="390"/>
      <c r="M11" s="390"/>
      <c r="N11" s="390"/>
      <c r="O11" s="390"/>
      <c r="P11" s="333"/>
      <c r="Q11" s="212"/>
      <c r="R11" s="212"/>
    </row>
    <row r="12" spans="2:18" x14ac:dyDescent="0.2">
      <c r="B12" s="305"/>
      <c r="C12" s="212"/>
      <c r="D12" s="212"/>
      <c r="E12" s="212"/>
      <c r="F12" s="212"/>
      <c r="G12" s="212"/>
      <c r="H12" s="212"/>
      <c r="I12" s="212"/>
      <c r="J12" s="212"/>
      <c r="K12" s="212"/>
      <c r="L12" s="212"/>
      <c r="M12" s="212"/>
      <c r="N12" s="212"/>
      <c r="O12" s="212"/>
      <c r="P12" s="214"/>
      <c r="Q12" s="212"/>
      <c r="R12" s="212"/>
    </row>
    <row r="13" spans="2:18" x14ac:dyDescent="0.2">
      <c r="B13" s="305" t="s">
        <v>16</v>
      </c>
      <c r="C13" s="391">
        <v>36428.628134768303</v>
      </c>
      <c r="D13" s="391">
        <v>31445.5369035933</v>
      </c>
      <c r="E13" s="391">
        <v>30203.482820599002</v>
      </c>
      <c r="F13" s="391">
        <v>21866.101820379499</v>
      </c>
      <c r="G13" s="391">
        <v>13141.973441024</v>
      </c>
      <c r="H13" s="391">
        <v>6247.4576629655703</v>
      </c>
      <c r="I13" s="391">
        <v>3227.8531258655398</v>
      </c>
      <c r="J13" s="391">
        <v>3227.8531258655398</v>
      </c>
      <c r="K13" s="391">
        <v>8478.6925425961399</v>
      </c>
      <c r="L13" s="391">
        <v>17983.7531298223</v>
      </c>
      <c r="M13" s="391">
        <v>28336.682971308099</v>
      </c>
      <c r="N13" s="391">
        <v>35736.9453220828</v>
      </c>
      <c r="O13" s="308">
        <f>SUM(C13:N13)</f>
        <v>236324.9610008701</v>
      </c>
      <c r="P13" s="214" t="s">
        <v>0</v>
      </c>
      <c r="Q13" s="212"/>
      <c r="R13" s="212"/>
    </row>
    <row r="14" spans="2:18" x14ac:dyDescent="0.2">
      <c r="B14" s="305" t="s">
        <v>17</v>
      </c>
      <c r="C14" s="391">
        <v>20933.344180224001</v>
      </c>
      <c r="D14" s="391">
        <v>18069.861003263999</v>
      </c>
      <c r="E14" s="391">
        <v>17356.127136767998</v>
      </c>
      <c r="F14" s="391">
        <v>12565.13513472</v>
      </c>
      <c r="G14" s="391">
        <v>7551.9026472959904</v>
      </c>
      <c r="H14" s="391">
        <v>3590.03860992</v>
      </c>
      <c r="I14" s="391">
        <v>1854.85328179199</v>
      </c>
      <c r="J14" s="391">
        <v>1854.85328179199</v>
      </c>
      <c r="K14" s="391">
        <v>4872.1952563200002</v>
      </c>
      <c r="L14" s="391">
        <v>10334.182569983999</v>
      </c>
      <c r="M14" s="391">
        <v>16283.38940928</v>
      </c>
      <c r="N14" s="391">
        <v>20535.875619840001</v>
      </c>
      <c r="O14" s="308">
        <f t="shared" ref="O14:O22" si="0">SUM(C14:N14)</f>
        <v>135801.75813119998</v>
      </c>
      <c r="P14" s="214" t="s">
        <v>0</v>
      </c>
      <c r="Q14" s="212"/>
      <c r="R14" s="212"/>
    </row>
    <row r="15" spans="2:18" x14ac:dyDescent="0.2">
      <c r="B15" s="305" t="s">
        <v>18</v>
      </c>
      <c r="C15" s="391">
        <v>12649.641447452001</v>
      </c>
      <c r="D15" s="391">
        <v>11425.482597698599</v>
      </c>
      <c r="E15" s="391">
        <v>12649.641447452001</v>
      </c>
      <c r="F15" s="391">
        <v>12241.5884975342</v>
      </c>
      <c r="G15" s="391">
        <v>12649.641447452001</v>
      </c>
      <c r="H15" s="391">
        <v>12241.5884975342</v>
      </c>
      <c r="I15" s="391">
        <v>12649.641447452001</v>
      </c>
      <c r="J15" s="391">
        <v>12649.641447452001</v>
      </c>
      <c r="K15" s="391">
        <v>12241.5884975342</v>
      </c>
      <c r="L15" s="391">
        <v>12649.641447452001</v>
      </c>
      <c r="M15" s="391">
        <v>12241.5884975342</v>
      </c>
      <c r="N15" s="391">
        <v>12649.641447452001</v>
      </c>
      <c r="O15" s="308">
        <f t="shared" si="0"/>
        <v>148939.3267199994</v>
      </c>
      <c r="P15" s="214" t="s">
        <v>0</v>
      </c>
      <c r="Q15" s="212"/>
      <c r="R15" s="212"/>
    </row>
    <row r="16" spans="2:18" x14ac:dyDescent="0.2">
      <c r="B16" s="305" t="s">
        <v>19</v>
      </c>
      <c r="C16" s="391">
        <v>1984.7247228364799</v>
      </c>
      <c r="D16" s="391">
        <v>3215.22074540118</v>
      </c>
      <c r="E16" s="391">
        <v>5544.2180254398399</v>
      </c>
      <c r="F16" s="391">
        <v>7599.2000607399204</v>
      </c>
      <c r="G16" s="391">
        <v>9833.1096964868193</v>
      </c>
      <c r="H16" s="391">
        <v>10013.517483763901</v>
      </c>
      <c r="I16" s="391">
        <v>9851.1973652858796</v>
      </c>
      <c r="J16" s="391">
        <v>9046.2184180488293</v>
      </c>
      <c r="K16" s="391">
        <v>7113.5061808324099</v>
      </c>
      <c r="L16" s="391">
        <v>4790.7835780507803</v>
      </c>
      <c r="M16" s="391">
        <v>2492.25538512193</v>
      </c>
      <c r="N16" s="391">
        <v>1562.1964896378599</v>
      </c>
      <c r="O16" s="308">
        <f t="shared" si="0"/>
        <v>73046.14815164583</v>
      </c>
      <c r="P16" s="214" t="s">
        <v>0</v>
      </c>
      <c r="Q16" s="212"/>
      <c r="R16" s="212"/>
    </row>
    <row r="17" spans="2:18" x14ac:dyDescent="0.2">
      <c r="B17" s="305" t="s">
        <v>20</v>
      </c>
      <c r="C17" s="392">
        <v>0.79565037041034403</v>
      </c>
      <c r="D17" s="392">
        <v>0.77068348480322701</v>
      </c>
      <c r="E17" s="392">
        <v>0.72216544218253198</v>
      </c>
      <c r="F17" s="392">
        <v>0.63331913865480305</v>
      </c>
      <c r="G17" s="392">
        <v>0.478411261018379</v>
      </c>
      <c r="H17" s="392">
        <v>0.30603313098177698</v>
      </c>
      <c r="I17" s="392">
        <v>0.225889641268847</v>
      </c>
      <c r="J17" s="392">
        <v>0.23427079816917801</v>
      </c>
      <c r="K17" s="392">
        <v>0.40748177345619102</v>
      </c>
      <c r="L17" s="392">
        <v>0.617772566430007</v>
      </c>
      <c r="M17" s="392">
        <v>0.75063625838425296</v>
      </c>
      <c r="N17" s="392">
        <v>0.797287807881078</v>
      </c>
      <c r="O17" s="308"/>
      <c r="P17" s="214" t="s">
        <v>0</v>
      </c>
      <c r="Q17" s="212"/>
      <c r="R17" s="212"/>
    </row>
    <row r="18" spans="2:18" x14ac:dyDescent="0.2">
      <c r="B18" s="305" t="s">
        <v>21</v>
      </c>
      <c r="C18" s="393">
        <v>45718.1334508816</v>
      </c>
      <c r="D18" s="393">
        <v>38232.049634426898</v>
      </c>
      <c r="E18" s="393">
        <v>34420.633386119203</v>
      </c>
      <c r="F18" s="393">
        <v>21865.685835141201</v>
      </c>
      <c r="G18" s="393">
        <v>9937.8747623857998</v>
      </c>
      <c r="H18" s="393">
        <v>3026.69650909762</v>
      </c>
      <c r="I18" s="393">
        <v>0</v>
      </c>
      <c r="J18" s="393">
        <v>0</v>
      </c>
      <c r="K18" s="393">
        <v>5464.0394939628004</v>
      </c>
      <c r="L18" s="393">
        <v>17543.7195721713</v>
      </c>
      <c r="M18" s="393">
        <v>33560.314936893301</v>
      </c>
      <c r="N18" s="393">
        <v>44941.895827099201</v>
      </c>
      <c r="O18" s="308">
        <f t="shared" si="0"/>
        <v>254711.0434081789</v>
      </c>
      <c r="P18" s="214" t="s">
        <v>0</v>
      </c>
      <c r="Q18" s="212"/>
      <c r="R18" s="212"/>
    </row>
    <row r="19" spans="2:18" x14ac:dyDescent="0.2">
      <c r="B19" s="305" t="s">
        <v>22</v>
      </c>
      <c r="C19" s="217">
        <v>0.8</v>
      </c>
      <c r="D19" s="217">
        <v>0.8</v>
      </c>
      <c r="E19" s="217">
        <v>0.8</v>
      </c>
      <c r="F19" s="217">
        <v>0.8</v>
      </c>
      <c r="G19" s="217">
        <v>0.8</v>
      </c>
      <c r="H19" s="217">
        <v>0.8</v>
      </c>
      <c r="I19" s="217">
        <v>0.8</v>
      </c>
      <c r="J19" s="217">
        <v>0.8</v>
      </c>
      <c r="K19" s="217">
        <v>0.8</v>
      </c>
      <c r="L19" s="217">
        <v>0.8</v>
      </c>
      <c r="M19" s="217">
        <v>0.8</v>
      </c>
      <c r="N19" s="217">
        <v>0.8</v>
      </c>
      <c r="O19" s="308"/>
      <c r="P19" s="214" t="s">
        <v>0</v>
      </c>
      <c r="Q19" s="212"/>
      <c r="R19" s="212"/>
    </row>
    <row r="20" spans="2:18" x14ac:dyDescent="0.2">
      <c r="B20" s="305" t="s">
        <v>23</v>
      </c>
      <c r="C20" s="394">
        <v>57147.666813602002</v>
      </c>
      <c r="D20" s="394">
        <v>47790.0620430337</v>
      </c>
      <c r="E20" s="394">
        <v>43025.791732648999</v>
      </c>
      <c r="F20" s="394">
        <v>27332.1072939265</v>
      </c>
      <c r="G20" s="394">
        <v>12422.343452982201</v>
      </c>
      <c r="H20" s="394">
        <v>3783.3706363720298</v>
      </c>
      <c r="I20" s="394">
        <v>0</v>
      </c>
      <c r="J20" s="394">
        <v>0</v>
      </c>
      <c r="K20" s="394">
        <v>6830.0493674535001</v>
      </c>
      <c r="L20" s="394">
        <v>21929.649465214101</v>
      </c>
      <c r="M20" s="394">
        <v>41950.393671116697</v>
      </c>
      <c r="N20" s="394">
        <v>56177.369783874099</v>
      </c>
      <c r="O20" s="308">
        <f t="shared" si="0"/>
        <v>318388.80426022381</v>
      </c>
      <c r="P20" s="214" t="s">
        <v>0</v>
      </c>
      <c r="Q20" s="212"/>
      <c r="R20" s="212"/>
    </row>
    <row r="21" spans="2:18" x14ac:dyDescent="0.2">
      <c r="B21" s="305" t="s">
        <v>24</v>
      </c>
      <c r="C21" s="217">
        <v>0.95769000000000004</v>
      </c>
      <c r="D21" s="217">
        <v>0.95769000000000004</v>
      </c>
      <c r="E21" s="217">
        <v>0.95769000000000004</v>
      </c>
      <c r="F21" s="217">
        <v>0.95769000000000004</v>
      </c>
      <c r="G21" s="217">
        <v>0.95769000000000004</v>
      </c>
      <c r="H21" s="217">
        <v>0.95769000000000004</v>
      </c>
      <c r="I21" s="217">
        <v>0.95769000000000004</v>
      </c>
      <c r="J21" s="217">
        <v>0.95769000000000004</v>
      </c>
      <c r="K21" s="217">
        <v>0.95769000000000004</v>
      </c>
      <c r="L21" s="217">
        <v>0.95769000000000004</v>
      </c>
      <c r="M21" s="217">
        <v>0.95769000000000004</v>
      </c>
      <c r="N21" s="217">
        <v>0.95769000000000004</v>
      </c>
      <c r="O21" s="308"/>
      <c r="P21" s="214" t="s">
        <v>0</v>
      </c>
      <c r="Q21" s="212"/>
      <c r="R21" s="212"/>
    </row>
    <row r="22" spans="2:18" x14ac:dyDescent="0.2">
      <c r="B22" s="305" t="s">
        <v>25</v>
      </c>
      <c r="C22" s="394">
        <v>59672.406325222197</v>
      </c>
      <c r="D22" s="394">
        <v>49901.389847480597</v>
      </c>
      <c r="E22" s="394">
        <v>44926.637776993601</v>
      </c>
      <c r="F22" s="394">
        <v>28539.618554988101</v>
      </c>
      <c r="G22" s="394">
        <v>12971.1529336029</v>
      </c>
      <c r="H22" s="394">
        <v>3950.5170111121802</v>
      </c>
      <c r="I22" s="394">
        <v>0</v>
      </c>
      <c r="J22" s="394">
        <v>0</v>
      </c>
      <c r="K22" s="394">
        <v>7131.79564102528</v>
      </c>
      <c r="L22" s="394">
        <v>22898.484337535199</v>
      </c>
      <c r="M22" s="394">
        <v>43803.729464771197</v>
      </c>
      <c r="N22" s="394">
        <v>58659.242326717504</v>
      </c>
      <c r="O22" s="308">
        <f t="shared" si="0"/>
        <v>332454.97421944875</v>
      </c>
      <c r="P22" s="214" t="s">
        <v>0</v>
      </c>
      <c r="Q22" s="212"/>
      <c r="R22" s="212"/>
    </row>
    <row r="23" spans="2:18" x14ac:dyDescent="0.2">
      <c r="B23" s="305"/>
      <c r="C23" s="209"/>
      <c r="D23" s="209"/>
      <c r="E23" s="209"/>
      <c r="F23" s="209"/>
      <c r="G23" s="209"/>
      <c r="H23" s="209"/>
      <c r="I23" s="209"/>
      <c r="J23" s="209"/>
      <c r="K23" s="209"/>
      <c r="L23" s="209"/>
      <c r="M23" s="209"/>
      <c r="N23" s="209"/>
      <c r="O23" s="212"/>
      <c r="P23" s="214"/>
      <c r="Q23" s="212"/>
      <c r="R23" s="212"/>
    </row>
    <row r="24" spans="2:18" x14ac:dyDescent="0.2">
      <c r="B24" s="305"/>
      <c r="C24" s="394"/>
      <c r="D24" s="394"/>
      <c r="E24" s="394"/>
      <c r="F24" s="394"/>
      <c r="G24" s="394"/>
      <c r="H24" s="394"/>
      <c r="I24" s="394"/>
      <c r="J24" s="394"/>
      <c r="K24" s="394"/>
      <c r="L24" s="394"/>
      <c r="M24" s="394"/>
      <c r="N24" s="394"/>
      <c r="O24" s="308"/>
      <c r="P24" s="214"/>
      <c r="Q24" s="212"/>
      <c r="R24" s="212"/>
    </row>
    <row r="25" spans="2:18" x14ac:dyDescent="0.2">
      <c r="B25" s="389" t="s">
        <v>105</v>
      </c>
      <c r="C25" s="390"/>
      <c r="D25" s="390"/>
      <c r="E25" s="390"/>
      <c r="F25" s="390"/>
      <c r="G25" s="390"/>
      <c r="H25" s="390"/>
      <c r="I25" s="390"/>
      <c r="J25" s="390"/>
      <c r="K25" s="390"/>
      <c r="L25" s="390"/>
      <c r="M25" s="390"/>
      <c r="N25" s="390"/>
      <c r="O25" s="390"/>
      <c r="P25" s="214"/>
      <c r="Q25" s="212"/>
      <c r="R25" s="212"/>
    </row>
    <row r="26" spans="2:18" x14ac:dyDescent="0.2">
      <c r="B26" s="305"/>
      <c r="C26" s="212"/>
      <c r="D26" s="212"/>
      <c r="E26" s="212"/>
      <c r="F26" s="212"/>
      <c r="G26" s="212"/>
      <c r="H26" s="212"/>
      <c r="I26" s="212"/>
      <c r="J26" s="212"/>
      <c r="K26" s="212"/>
      <c r="L26" s="212"/>
      <c r="M26" s="212"/>
      <c r="N26" s="212"/>
      <c r="O26" s="212"/>
      <c r="P26" s="214"/>
      <c r="Q26" s="212"/>
      <c r="R26" s="212"/>
    </row>
    <row r="27" spans="2:18" x14ac:dyDescent="0.2">
      <c r="B27" s="305" t="s">
        <v>16</v>
      </c>
      <c r="C27" s="391">
        <v>41039.846886004801</v>
      </c>
      <c r="D27" s="391">
        <v>35610.508678903701</v>
      </c>
      <c r="E27" s="391">
        <v>34814.701571835503</v>
      </c>
      <c r="F27" s="391">
        <v>26328.5715796406</v>
      </c>
      <c r="G27" s="391">
        <v>17753.1921922605</v>
      </c>
      <c r="H27" s="391">
        <v>10709.927422226699</v>
      </c>
      <c r="I27" s="391">
        <v>7839.0718771020402</v>
      </c>
      <c r="J27" s="391">
        <v>7839.0718771020402</v>
      </c>
      <c r="K27" s="391">
        <v>12941.162301857201</v>
      </c>
      <c r="L27" s="391">
        <v>22594.971881058798</v>
      </c>
      <c r="M27" s="391">
        <v>32799.1527305692</v>
      </c>
      <c r="N27" s="391">
        <v>40348.164073319298</v>
      </c>
      <c r="O27" s="308">
        <f t="shared" ref="O27:O32" si="1">SUM(C27:N27)</f>
        <v>290618.34307188034</v>
      </c>
      <c r="P27" s="214" t="s">
        <v>0</v>
      </c>
      <c r="Q27" s="212"/>
      <c r="R27" s="212"/>
    </row>
    <row r="28" spans="2:18" x14ac:dyDescent="0.2">
      <c r="B28" s="305" t="s">
        <v>17</v>
      </c>
      <c r="C28" s="391">
        <v>17558.68617216</v>
      </c>
      <c r="D28" s="391">
        <v>15859.45847808</v>
      </c>
      <c r="E28" s="391">
        <v>17558.68617216</v>
      </c>
      <c r="F28" s="391">
        <v>16992.276940799999</v>
      </c>
      <c r="G28" s="391">
        <v>17558.68617216</v>
      </c>
      <c r="H28" s="391">
        <v>11651.847045119999</v>
      </c>
      <c r="I28" s="391">
        <v>8528.5047121919906</v>
      </c>
      <c r="J28" s="391">
        <v>8528.5047121919906</v>
      </c>
      <c r="K28" s="391">
        <v>14079.315179519999</v>
      </c>
      <c r="L28" s="391">
        <v>17558.68617216</v>
      </c>
      <c r="M28" s="391">
        <v>16992.276940799999</v>
      </c>
      <c r="N28" s="391">
        <v>17558.68617216</v>
      </c>
      <c r="O28" s="308">
        <f t="shared" si="1"/>
        <v>180425.61486950394</v>
      </c>
      <c r="P28" s="214" t="s">
        <v>0</v>
      </c>
      <c r="Q28" s="212"/>
      <c r="R28" s="212"/>
    </row>
    <row r="29" spans="2:18" x14ac:dyDescent="0.2">
      <c r="B29" s="305" t="s">
        <v>18</v>
      </c>
      <c r="C29" s="391">
        <v>15812.051809315</v>
      </c>
      <c r="D29" s="391">
        <v>14281.853247123199</v>
      </c>
      <c r="E29" s="391">
        <v>15812.051809315</v>
      </c>
      <c r="F29" s="391">
        <v>15301.9856219178</v>
      </c>
      <c r="G29" s="391">
        <v>15812.051809315</v>
      </c>
      <c r="H29" s="391">
        <v>15301.9856219178</v>
      </c>
      <c r="I29" s="391">
        <v>15812.051809315</v>
      </c>
      <c r="J29" s="391">
        <v>15812.051809315</v>
      </c>
      <c r="K29" s="391">
        <v>15301.9856219178</v>
      </c>
      <c r="L29" s="391">
        <v>15812.051809315</v>
      </c>
      <c r="M29" s="391">
        <v>15301.9856219178</v>
      </c>
      <c r="N29" s="391">
        <v>15812.051809315</v>
      </c>
      <c r="O29" s="308">
        <f t="shared" si="1"/>
        <v>186174.15839999937</v>
      </c>
      <c r="P29" s="214" t="s">
        <v>0</v>
      </c>
      <c r="Q29" s="212"/>
      <c r="R29" s="212"/>
    </row>
    <row r="30" spans="2:18" x14ac:dyDescent="0.2">
      <c r="B30" s="305" t="s">
        <v>19</v>
      </c>
      <c r="C30" s="391">
        <v>1883.54267814286</v>
      </c>
      <c r="D30" s="391">
        <v>3051.3075309297401</v>
      </c>
      <c r="E30" s="391">
        <v>5261.5716162997796</v>
      </c>
      <c r="F30" s="391">
        <v>7211.7898615649501</v>
      </c>
      <c r="G30" s="391">
        <v>9331.8139080384699</v>
      </c>
      <c r="H30" s="391">
        <v>9503.0244355720206</v>
      </c>
      <c r="I30" s="391">
        <v>9348.9794603889604</v>
      </c>
      <c r="J30" s="391">
        <v>8585.0386555600708</v>
      </c>
      <c r="K30" s="391">
        <v>6750.8568461233099</v>
      </c>
      <c r="L30" s="391">
        <v>4546.5475525030897</v>
      </c>
      <c r="M30" s="391">
        <v>2365.1992282333699</v>
      </c>
      <c r="N30" s="391">
        <v>1482.5550999700499</v>
      </c>
      <c r="O30" s="308">
        <f t="shared" si="1"/>
        <v>69322.226873326668</v>
      </c>
      <c r="P30" s="214" t="s">
        <v>0</v>
      </c>
      <c r="Q30" s="212"/>
      <c r="R30" s="212"/>
    </row>
    <row r="31" spans="2:18" x14ac:dyDescent="0.2">
      <c r="B31" s="305" t="s">
        <v>20</v>
      </c>
      <c r="C31" s="395">
        <v>0.30198016168584402</v>
      </c>
      <c r="D31" s="395">
        <v>0.33676261586075501</v>
      </c>
      <c r="E31" s="395">
        <v>0.35885391512897602</v>
      </c>
      <c r="F31" s="395">
        <v>0.438526576253781</v>
      </c>
      <c r="G31" s="395">
        <v>0.54539539474188503</v>
      </c>
      <c r="H31" s="395">
        <v>0.69525401315315305</v>
      </c>
      <c r="I31" s="395">
        <v>0.79037805109273596</v>
      </c>
      <c r="J31" s="395">
        <v>0.78222629565347901</v>
      </c>
      <c r="K31" s="395">
        <v>0.59267399859092096</v>
      </c>
      <c r="L31" s="395">
        <v>0.43047795030490199</v>
      </c>
      <c r="M31" s="395">
        <v>0.35482381138194202</v>
      </c>
      <c r="N31" s="395">
        <v>0.29866253881828497</v>
      </c>
      <c r="O31" s="308"/>
      <c r="P31" s="214" t="s">
        <v>0</v>
      </c>
      <c r="Q31" s="212"/>
      <c r="R31" s="212"/>
    </row>
    <row r="32" spans="2:18" x14ac:dyDescent="0.2">
      <c r="B32" s="305" t="s">
        <v>21</v>
      </c>
      <c r="C32" s="391">
        <v>0</v>
      </c>
      <c r="D32" s="391">
        <v>0</v>
      </c>
      <c r="E32" s="391">
        <v>2507.1510036255099</v>
      </c>
      <c r="F32" s="391">
        <v>3868.0753115457401</v>
      </c>
      <c r="G32" s="391">
        <v>6473.42286548429</v>
      </c>
      <c r="H32" s="391">
        <v>10183.686279625401</v>
      </c>
      <c r="I32" s="391">
        <v>13446.9037823413</v>
      </c>
      <c r="J32" s="391">
        <v>12753.335826667701</v>
      </c>
      <c r="K32" s="391">
        <v>6642.3588388490298</v>
      </c>
      <c r="L32" s="391">
        <v>3380.6684404070402</v>
      </c>
      <c r="M32" s="391">
        <v>0</v>
      </c>
      <c r="N32" s="391">
        <v>0</v>
      </c>
      <c r="O32" s="396">
        <f t="shared" si="1"/>
        <v>59255.602348546017</v>
      </c>
      <c r="P32" s="214" t="s">
        <v>0</v>
      </c>
      <c r="Q32" s="212"/>
      <c r="R32" s="212"/>
    </row>
    <row r="33" spans="2:18" x14ac:dyDescent="0.2">
      <c r="B33" s="305" t="s">
        <v>22</v>
      </c>
      <c r="C33" s="397">
        <v>1</v>
      </c>
      <c r="D33" s="391">
        <v>1</v>
      </c>
      <c r="E33" s="391">
        <v>1</v>
      </c>
      <c r="F33" s="391">
        <v>1</v>
      </c>
      <c r="G33" s="391">
        <v>1</v>
      </c>
      <c r="H33" s="391">
        <v>1</v>
      </c>
      <c r="I33" s="391">
        <v>1</v>
      </c>
      <c r="J33" s="391">
        <v>1</v>
      </c>
      <c r="K33" s="391">
        <v>1</v>
      </c>
      <c r="L33" s="391">
        <v>1</v>
      </c>
      <c r="M33" s="391">
        <v>1</v>
      </c>
      <c r="N33" s="397">
        <v>1</v>
      </c>
      <c r="O33" s="308"/>
      <c r="P33" s="214" t="s">
        <v>0</v>
      </c>
      <c r="Q33" s="212"/>
      <c r="R33" s="212"/>
    </row>
    <row r="34" spans="2:18" x14ac:dyDescent="0.2">
      <c r="B34" s="305" t="s">
        <v>23</v>
      </c>
      <c r="C34" s="391">
        <v>0</v>
      </c>
      <c r="D34" s="391">
        <v>0</v>
      </c>
      <c r="E34" s="391">
        <v>2507.1510036255099</v>
      </c>
      <c r="F34" s="391">
        <v>3868.0753115457401</v>
      </c>
      <c r="G34" s="391">
        <v>6473.42286548429</v>
      </c>
      <c r="H34" s="391">
        <v>10183.686279625401</v>
      </c>
      <c r="I34" s="391">
        <v>13446.9037823413</v>
      </c>
      <c r="J34" s="391">
        <v>12753.335826667701</v>
      </c>
      <c r="K34" s="391">
        <v>6642.3588388490298</v>
      </c>
      <c r="L34" s="391">
        <v>3380.6684404070402</v>
      </c>
      <c r="M34" s="391">
        <v>0</v>
      </c>
      <c r="N34" s="391">
        <v>0</v>
      </c>
      <c r="O34" s="308">
        <f>SUM(C34:N34)</f>
        <v>59255.602348546017</v>
      </c>
      <c r="P34" s="214" t="s">
        <v>0</v>
      </c>
      <c r="Q34" s="212"/>
      <c r="R34" s="212"/>
    </row>
    <row r="35" spans="2:18" x14ac:dyDescent="0.2">
      <c r="B35" s="305" t="s">
        <v>24</v>
      </c>
      <c r="C35" s="397">
        <v>5</v>
      </c>
      <c r="D35" s="391">
        <v>5</v>
      </c>
      <c r="E35" s="391">
        <v>5</v>
      </c>
      <c r="F35" s="391">
        <v>5</v>
      </c>
      <c r="G35" s="391">
        <v>5</v>
      </c>
      <c r="H35" s="391">
        <v>5</v>
      </c>
      <c r="I35" s="391">
        <v>5</v>
      </c>
      <c r="J35" s="391">
        <v>5</v>
      </c>
      <c r="K35" s="391">
        <v>5</v>
      </c>
      <c r="L35" s="391">
        <v>5</v>
      </c>
      <c r="M35" s="391">
        <v>5</v>
      </c>
      <c r="N35" s="397">
        <v>5</v>
      </c>
      <c r="O35" s="308"/>
      <c r="P35" s="214" t="s">
        <v>0</v>
      </c>
      <c r="Q35" s="212"/>
      <c r="R35" s="212"/>
    </row>
    <row r="36" spans="2:18" x14ac:dyDescent="0.2">
      <c r="B36" s="305" t="s">
        <v>25</v>
      </c>
      <c r="C36" s="391">
        <v>0</v>
      </c>
      <c r="D36" s="391">
        <v>0</v>
      </c>
      <c r="E36" s="391">
        <v>501.43020072510302</v>
      </c>
      <c r="F36" s="391">
        <v>773.61506230914802</v>
      </c>
      <c r="G36" s="391">
        <v>1294.68457309685</v>
      </c>
      <c r="H36" s="391">
        <v>2036.73725592508</v>
      </c>
      <c r="I36" s="391">
        <v>2689.3807564682702</v>
      </c>
      <c r="J36" s="391">
        <v>2550.6671653335502</v>
      </c>
      <c r="K36" s="391">
        <v>1328.4717677698</v>
      </c>
      <c r="L36" s="391">
        <v>676.13368808140899</v>
      </c>
      <c r="M36" s="391">
        <v>0</v>
      </c>
      <c r="N36" s="391">
        <v>0</v>
      </c>
      <c r="O36" s="308">
        <f>SUM(C36:N36)</f>
        <v>11851.120469709211</v>
      </c>
      <c r="P36" s="214" t="s">
        <v>0</v>
      </c>
      <c r="Q36" s="212"/>
      <c r="R36" s="212"/>
    </row>
    <row r="37" spans="2:18" ht="13.5" thickBot="1" x14ac:dyDescent="0.25">
      <c r="B37" s="373"/>
      <c r="C37" s="225"/>
      <c r="D37" s="225"/>
      <c r="E37" s="225"/>
      <c r="F37" s="225"/>
      <c r="G37" s="225"/>
      <c r="H37" s="225"/>
      <c r="I37" s="225"/>
      <c r="J37" s="225"/>
      <c r="K37" s="225"/>
      <c r="L37" s="225"/>
      <c r="M37" s="225"/>
      <c r="N37" s="225"/>
      <c r="O37" s="225"/>
      <c r="P37" s="227"/>
      <c r="Q37" s="212"/>
      <c r="R37" s="212"/>
    </row>
    <row r="38" spans="2:18" s="208" customFormat="1" x14ac:dyDescent="0.2">
      <c r="B38" s="212"/>
      <c r="C38" s="212"/>
      <c r="D38" s="212"/>
      <c r="E38" s="212"/>
      <c r="F38" s="212"/>
      <c r="G38" s="212"/>
      <c r="H38" s="212"/>
      <c r="I38" s="212"/>
      <c r="J38" s="212"/>
      <c r="K38" s="212"/>
      <c r="L38" s="212"/>
      <c r="M38" s="212"/>
      <c r="N38" s="212"/>
      <c r="O38" s="212"/>
      <c r="P38" s="212"/>
      <c r="Q38" s="212"/>
      <c r="R38" s="212"/>
    </row>
    <row r="39" spans="2:18" s="208" customFormat="1" x14ac:dyDescent="0.2">
      <c r="B39" s="212"/>
      <c r="C39" s="212"/>
      <c r="D39" s="212"/>
      <c r="E39" s="212"/>
      <c r="F39" s="212"/>
      <c r="G39" s="212"/>
      <c r="H39" s="212"/>
      <c r="I39" s="212"/>
      <c r="J39" s="212"/>
      <c r="K39" s="212"/>
      <c r="L39" s="212"/>
      <c r="M39" s="212"/>
      <c r="N39" s="212"/>
      <c r="O39" s="212"/>
      <c r="P39" s="212"/>
      <c r="Q39" s="212"/>
      <c r="R39" s="212"/>
    </row>
    <row r="40" spans="2:18" s="208" customFormat="1" x14ac:dyDescent="0.2">
      <c r="B40" s="212"/>
      <c r="C40" s="398"/>
      <c r="D40" s="398"/>
      <c r="E40" s="398"/>
      <c r="F40" s="398"/>
      <c r="G40" s="398"/>
      <c r="H40" s="398"/>
      <c r="I40" s="398"/>
      <c r="J40" s="398"/>
      <c r="K40" s="398"/>
      <c r="L40" s="398"/>
      <c r="M40" s="398"/>
      <c r="N40" s="398"/>
      <c r="O40" s="212"/>
      <c r="P40" s="212"/>
      <c r="Q40" s="212"/>
      <c r="R40" s="212"/>
    </row>
    <row r="41" spans="2:18" s="208" customFormat="1" x14ac:dyDescent="0.2">
      <c r="B41" s="212"/>
      <c r="C41" s="212"/>
      <c r="D41" s="212"/>
      <c r="E41" s="212"/>
      <c r="F41" s="212"/>
      <c r="G41" s="212"/>
      <c r="H41" s="212"/>
      <c r="I41" s="212"/>
      <c r="J41" s="212"/>
      <c r="K41" s="212"/>
      <c r="L41" s="212"/>
      <c r="M41" s="212"/>
      <c r="N41" s="212"/>
      <c r="O41" s="212"/>
      <c r="P41" s="212"/>
      <c r="Q41" s="212"/>
      <c r="R41" s="212"/>
    </row>
    <row r="42" spans="2:18" s="208" customFormat="1" x14ac:dyDescent="0.2">
      <c r="B42" s="212"/>
      <c r="C42" s="212"/>
      <c r="D42" s="212"/>
      <c r="E42" s="212"/>
      <c r="F42" s="212"/>
      <c r="G42" s="212"/>
      <c r="H42" s="212"/>
      <c r="I42" s="212"/>
      <c r="J42" s="212"/>
      <c r="K42" s="212"/>
      <c r="L42" s="212"/>
      <c r="M42" s="212"/>
      <c r="N42" s="212"/>
      <c r="O42" s="212"/>
      <c r="P42" s="212"/>
      <c r="Q42" s="212"/>
      <c r="R42" s="212"/>
    </row>
    <row r="43" spans="2:18" s="208" customFormat="1" x14ac:dyDescent="0.2">
      <c r="B43" s="212"/>
      <c r="C43" s="212"/>
      <c r="D43" s="212"/>
      <c r="E43" s="212"/>
      <c r="F43" s="212"/>
      <c r="G43" s="212"/>
      <c r="H43" s="212"/>
      <c r="I43" s="212"/>
      <c r="J43" s="212"/>
      <c r="K43" s="212"/>
      <c r="L43" s="212"/>
      <c r="M43" s="212"/>
      <c r="N43" s="212"/>
      <c r="O43" s="212"/>
      <c r="P43" s="212"/>
      <c r="Q43" s="212"/>
      <c r="R43" s="212"/>
    </row>
    <row r="44" spans="2:18" s="208" customFormat="1" x14ac:dyDescent="0.2">
      <c r="B44" s="212"/>
      <c r="C44" s="212"/>
      <c r="D44" s="212"/>
      <c r="E44" s="212"/>
      <c r="F44" s="212"/>
      <c r="G44" s="212"/>
      <c r="H44" s="212"/>
      <c r="I44" s="212"/>
      <c r="J44" s="212"/>
      <c r="K44" s="212"/>
      <c r="L44" s="212"/>
      <c r="M44" s="212"/>
      <c r="N44" s="212"/>
      <c r="O44" s="212"/>
      <c r="P44" s="212"/>
      <c r="Q44" s="212"/>
      <c r="R44" s="212"/>
    </row>
    <row r="45" spans="2:18" s="208" customFormat="1" x14ac:dyDescent="0.2">
      <c r="B45" s="212"/>
      <c r="C45" s="212"/>
      <c r="D45" s="212"/>
      <c r="E45" s="212"/>
      <c r="F45" s="212"/>
      <c r="G45" s="212"/>
      <c r="H45" s="212"/>
      <c r="I45" s="212"/>
      <c r="J45" s="212"/>
      <c r="K45" s="212"/>
      <c r="L45" s="212"/>
      <c r="M45" s="212"/>
      <c r="N45" s="212"/>
      <c r="O45" s="212"/>
      <c r="P45" s="212"/>
      <c r="Q45" s="212"/>
      <c r="R45" s="212"/>
    </row>
    <row r="46" spans="2:18" s="208" customFormat="1" x14ac:dyDescent="0.2">
      <c r="B46" s="212"/>
      <c r="C46" s="212"/>
      <c r="D46" s="399"/>
      <c r="E46" s="212"/>
      <c r="F46" s="212"/>
      <c r="G46" s="212"/>
      <c r="H46" s="212"/>
      <c r="I46" s="212"/>
      <c r="J46" s="212"/>
      <c r="K46" s="212"/>
      <c r="L46" s="212"/>
      <c r="M46" s="212"/>
      <c r="N46" s="212"/>
      <c r="O46" s="212"/>
      <c r="P46" s="212"/>
      <c r="Q46" s="212"/>
      <c r="R46" s="212"/>
    </row>
    <row r="47" spans="2:18" s="208" customFormat="1" x14ac:dyDescent="0.2">
      <c r="B47" s="212"/>
      <c r="C47" s="212"/>
      <c r="D47" s="399"/>
      <c r="E47" s="212"/>
      <c r="F47" s="212"/>
      <c r="G47" s="212"/>
      <c r="H47" s="212"/>
      <c r="I47" s="212"/>
      <c r="J47" s="212"/>
      <c r="K47" s="212"/>
      <c r="L47" s="212"/>
      <c r="M47" s="212"/>
      <c r="N47" s="212"/>
      <c r="O47" s="212"/>
      <c r="P47" s="212"/>
      <c r="Q47" s="212"/>
      <c r="R47" s="212"/>
    </row>
    <row r="48" spans="2:18" s="208" customFormat="1" x14ac:dyDescent="0.2">
      <c r="B48" s="399"/>
      <c r="C48" s="212"/>
      <c r="D48" s="399"/>
      <c r="E48" s="212"/>
      <c r="F48" s="212"/>
      <c r="G48" s="212"/>
      <c r="H48" s="399"/>
      <c r="I48" s="399"/>
      <c r="J48" s="212"/>
      <c r="K48" s="212"/>
      <c r="L48" s="212"/>
      <c r="M48" s="212"/>
      <c r="N48" s="212"/>
      <c r="O48" s="212"/>
      <c r="P48" s="212"/>
      <c r="Q48" s="212"/>
      <c r="R48" s="212"/>
    </row>
    <row r="49" spans="2:18" s="208" customFormat="1" x14ac:dyDescent="0.2">
      <c r="B49" s="212"/>
      <c r="C49" s="212"/>
      <c r="D49" s="399"/>
      <c r="E49" s="212"/>
      <c r="F49" s="212"/>
      <c r="G49" s="212"/>
      <c r="H49" s="212"/>
      <c r="I49" s="399"/>
      <c r="J49" s="212"/>
      <c r="K49" s="212"/>
      <c r="L49" s="212"/>
      <c r="M49" s="212"/>
      <c r="N49" s="212"/>
      <c r="O49" s="212"/>
      <c r="P49" s="212"/>
      <c r="Q49" s="212"/>
      <c r="R49" s="212"/>
    </row>
    <row r="50" spans="2:18" s="208" customFormat="1" x14ac:dyDescent="0.2">
      <c r="B50" s="212"/>
      <c r="C50" s="212"/>
      <c r="D50" s="399"/>
      <c r="E50" s="212"/>
      <c r="F50" s="212"/>
      <c r="G50" s="212"/>
      <c r="H50" s="212"/>
      <c r="I50" s="212"/>
      <c r="J50" s="212"/>
      <c r="K50" s="212"/>
      <c r="L50" s="212"/>
      <c r="M50" s="212"/>
      <c r="N50" s="212"/>
      <c r="O50" s="212"/>
      <c r="P50" s="212"/>
      <c r="Q50" s="212"/>
      <c r="R50" s="212"/>
    </row>
    <row r="51" spans="2:18" s="208" customFormat="1" x14ac:dyDescent="0.2">
      <c r="B51" s="212"/>
      <c r="C51" s="212"/>
      <c r="D51" s="212"/>
      <c r="E51" s="212"/>
      <c r="F51" s="212"/>
      <c r="G51" s="212"/>
      <c r="H51" s="212"/>
      <c r="I51" s="212"/>
      <c r="J51" s="212"/>
      <c r="K51" s="212"/>
      <c r="L51" s="212"/>
      <c r="M51" s="212"/>
      <c r="N51" s="212"/>
      <c r="O51" s="212"/>
      <c r="P51" s="212"/>
      <c r="Q51" s="212"/>
      <c r="R51" s="212"/>
    </row>
    <row r="52" spans="2:18" s="208" customFormat="1" x14ac:dyDescent="0.2">
      <c r="B52" s="212"/>
      <c r="C52" s="212"/>
      <c r="D52" s="399"/>
      <c r="E52" s="212"/>
      <c r="F52" s="212"/>
      <c r="G52" s="212"/>
      <c r="H52" s="212"/>
      <c r="I52" s="212"/>
      <c r="J52" s="212"/>
      <c r="K52" s="212"/>
      <c r="L52" s="212"/>
      <c r="M52" s="212"/>
      <c r="N52" s="212"/>
      <c r="O52" s="212"/>
      <c r="P52" s="212"/>
      <c r="Q52" s="212"/>
      <c r="R52" s="212"/>
    </row>
    <row r="53" spans="2:18" s="208" customFormat="1" x14ac:dyDescent="0.2">
      <c r="B53" s="212"/>
      <c r="C53" s="212"/>
      <c r="D53" s="212"/>
      <c r="E53" s="212"/>
      <c r="F53" s="212"/>
      <c r="G53" s="212"/>
      <c r="H53" s="212"/>
      <c r="I53" s="212"/>
      <c r="J53" s="212"/>
      <c r="K53" s="212"/>
      <c r="L53" s="212"/>
      <c r="M53" s="212"/>
      <c r="N53" s="212"/>
      <c r="O53" s="212"/>
      <c r="P53" s="212"/>
      <c r="Q53" s="212"/>
      <c r="R53" s="212"/>
    </row>
    <row r="54" spans="2:18" s="208" customFormat="1" x14ac:dyDescent="0.2">
      <c r="B54" s="212"/>
      <c r="C54" s="212"/>
      <c r="D54" s="212"/>
      <c r="E54" s="212"/>
      <c r="F54" s="212"/>
      <c r="G54" s="212"/>
      <c r="H54" s="212"/>
      <c r="I54" s="212"/>
      <c r="J54" s="212"/>
      <c r="K54" s="212"/>
      <c r="L54" s="212"/>
      <c r="M54" s="212"/>
      <c r="N54" s="212"/>
      <c r="O54" s="212"/>
      <c r="P54" s="212"/>
      <c r="Q54" s="212"/>
      <c r="R54" s="212"/>
    </row>
    <row r="55" spans="2:18" s="208" customFormat="1" x14ac:dyDescent="0.2">
      <c r="B55" s="212"/>
      <c r="C55" s="212"/>
      <c r="D55" s="212"/>
      <c r="E55" s="212"/>
      <c r="F55" s="212"/>
      <c r="G55" s="212"/>
      <c r="H55" s="212"/>
      <c r="I55" s="212"/>
      <c r="J55" s="212"/>
      <c r="K55" s="212"/>
      <c r="L55" s="212"/>
      <c r="M55" s="212"/>
      <c r="N55" s="212"/>
      <c r="O55" s="212"/>
      <c r="P55" s="212"/>
      <c r="Q55" s="212"/>
      <c r="R55" s="212"/>
    </row>
    <row r="56" spans="2:18" s="208" customFormat="1" x14ac:dyDescent="0.2">
      <c r="B56" s="212"/>
      <c r="C56" s="212"/>
      <c r="D56" s="212"/>
      <c r="E56" s="212"/>
      <c r="F56" s="212"/>
      <c r="G56" s="212"/>
      <c r="H56" s="212"/>
      <c r="I56" s="212"/>
      <c r="J56" s="212"/>
      <c r="K56" s="212"/>
      <c r="L56" s="212"/>
      <c r="M56" s="212"/>
      <c r="N56" s="212"/>
      <c r="O56" s="212"/>
      <c r="P56" s="212"/>
      <c r="Q56" s="212"/>
      <c r="R56" s="212"/>
    </row>
    <row r="57" spans="2:18" s="208" customFormat="1" x14ac:dyDescent="0.2">
      <c r="B57" s="212"/>
      <c r="C57" s="212"/>
      <c r="D57" s="212"/>
      <c r="E57" s="212"/>
      <c r="F57" s="212"/>
      <c r="G57" s="212"/>
      <c r="H57" s="212"/>
      <c r="I57" s="212"/>
      <c r="J57" s="212"/>
      <c r="K57" s="212"/>
      <c r="L57" s="212"/>
      <c r="M57" s="212"/>
      <c r="N57" s="212"/>
      <c r="O57" s="212"/>
      <c r="P57" s="212"/>
      <c r="Q57" s="212"/>
      <c r="R57" s="212"/>
    </row>
    <row r="58" spans="2:18" s="208" customFormat="1" x14ac:dyDescent="0.2">
      <c r="B58" s="212"/>
      <c r="C58" s="212"/>
      <c r="D58" s="212"/>
      <c r="E58" s="212"/>
      <c r="F58" s="212"/>
      <c r="G58" s="212"/>
      <c r="H58" s="212"/>
      <c r="I58" s="212"/>
      <c r="J58" s="212"/>
      <c r="K58" s="212"/>
      <c r="L58" s="212"/>
      <c r="M58" s="212"/>
      <c r="N58" s="212"/>
      <c r="O58" s="212"/>
      <c r="P58" s="212"/>
      <c r="Q58" s="212"/>
      <c r="R58" s="212"/>
    </row>
    <row r="59" spans="2:18" s="208" customFormat="1" x14ac:dyDescent="0.2">
      <c r="B59" s="212"/>
      <c r="C59" s="212"/>
      <c r="D59" s="212"/>
      <c r="E59" s="212"/>
      <c r="F59" s="212"/>
      <c r="G59" s="212"/>
      <c r="H59" s="212"/>
      <c r="I59" s="212"/>
      <c r="J59" s="212"/>
      <c r="K59" s="212"/>
      <c r="L59" s="212"/>
      <c r="M59" s="212"/>
      <c r="N59" s="212"/>
      <c r="O59" s="212"/>
      <c r="P59" s="212"/>
      <c r="Q59" s="212"/>
      <c r="R59" s="212"/>
    </row>
    <row r="60" spans="2:18" s="208" customFormat="1" x14ac:dyDescent="0.2">
      <c r="B60" s="212"/>
      <c r="C60" s="212"/>
      <c r="D60" s="212"/>
      <c r="E60" s="212"/>
      <c r="F60" s="212"/>
      <c r="G60" s="212"/>
      <c r="H60" s="212"/>
      <c r="I60" s="212"/>
      <c r="J60" s="212"/>
      <c r="K60" s="212"/>
      <c r="L60" s="212"/>
      <c r="M60" s="212"/>
      <c r="N60" s="212"/>
      <c r="O60" s="212"/>
      <c r="P60" s="212"/>
      <c r="Q60" s="212"/>
      <c r="R60" s="212"/>
    </row>
    <row r="61" spans="2:18" s="208" customFormat="1" x14ac:dyDescent="0.2">
      <c r="B61" s="212"/>
      <c r="C61" s="212"/>
      <c r="D61" s="212"/>
      <c r="E61" s="212"/>
      <c r="F61" s="212"/>
      <c r="G61" s="212"/>
      <c r="H61" s="212"/>
      <c r="I61" s="212"/>
      <c r="J61" s="212"/>
      <c r="K61" s="212"/>
      <c r="L61" s="212"/>
      <c r="M61" s="212"/>
      <c r="N61" s="212"/>
      <c r="O61" s="212"/>
      <c r="P61" s="212"/>
      <c r="Q61" s="212"/>
      <c r="R61" s="212"/>
    </row>
    <row r="62" spans="2:18" s="208" customFormat="1" x14ac:dyDescent="0.2">
      <c r="B62" s="212"/>
      <c r="C62" s="212"/>
      <c r="D62" s="212"/>
      <c r="E62" s="212"/>
      <c r="F62" s="212"/>
      <c r="G62" s="212"/>
      <c r="H62" s="212"/>
      <c r="I62" s="212"/>
      <c r="J62" s="212"/>
      <c r="K62" s="212"/>
      <c r="L62" s="212"/>
      <c r="M62" s="212"/>
      <c r="N62" s="212"/>
      <c r="O62" s="212"/>
      <c r="P62" s="212"/>
      <c r="Q62" s="212"/>
      <c r="R62" s="212"/>
    </row>
    <row r="63" spans="2:18" s="208" customFormat="1" x14ac:dyDescent="0.2">
      <c r="B63" s="212"/>
      <c r="C63" s="212"/>
      <c r="D63" s="212"/>
      <c r="E63" s="212"/>
      <c r="F63" s="212"/>
      <c r="G63" s="212"/>
      <c r="H63" s="212"/>
      <c r="I63" s="212"/>
      <c r="J63" s="212"/>
      <c r="K63" s="212"/>
      <c r="L63" s="212"/>
      <c r="M63" s="212"/>
      <c r="N63" s="212"/>
      <c r="O63" s="212"/>
      <c r="P63" s="212"/>
      <c r="Q63" s="212"/>
      <c r="R63" s="212"/>
    </row>
    <row r="64" spans="2:18" s="208" customFormat="1" x14ac:dyDescent="0.2">
      <c r="B64" s="212"/>
      <c r="C64" s="212"/>
      <c r="D64" s="212"/>
      <c r="E64" s="212"/>
      <c r="F64" s="212"/>
      <c r="G64" s="212"/>
      <c r="H64" s="212"/>
      <c r="I64" s="212"/>
      <c r="J64" s="212"/>
      <c r="K64" s="212"/>
      <c r="L64" s="212"/>
      <c r="M64" s="212"/>
      <c r="N64" s="212"/>
      <c r="O64" s="212"/>
      <c r="P64" s="212"/>
      <c r="Q64" s="212"/>
      <c r="R64" s="212"/>
    </row>
    <row r="65" spans="2:18" s="208" customFormat="1" x14ac:dyDescent="0.2">
      <c r="B65" s="212"/>
      <c r="C65" s="212"/>
      <c r="D65" s="212"/>
      <c r="E65" s="212"/>
      <c r="F65" s="212"/>
      <c r="G65" s="212"/>
      <c r="H65" s="212"/>
      <c r="I65" s="212"/>
      <c r="J65" s="212"/>
      <c r="K65" s="212"/>
      <c r="L65" s="212"/>
      <c r="M65" s="212"/>
      <c r="N65" s="212"/>
      <c r="O65" s="212"/>
      <c r="P65" s="212"/>
      <c r="Q65" s="212"/>
      <c r="R65" s="212"/>
    </row>
    <row r="66" spans="2:18" s="208" customFormat="1" x14ac:dyDescent="0.2">
      <c r="B66" s="212"/>
      <c r="C66" s="212"/>
      <c r="D66" s="212"/>
      <c r="E66" s="212"/>
      <c r="F66" s="212"/>
      <c r="G66" s="212"/>
      <c r="H66" s="212"/>
      <c r="I66" s="212"/>
      <c r="J66" s="212"/>
      <c r="K66" s="212"/>
      <c r="L66" s="212"/>
      <c r="M66" s="212"/>
      <c r="N66" s="212"/>
      <c r="O66" s="212"/>
      <c r="P66" s="212"/>
      <c r="Q66" s="212"/>
      <c r="R66" s="212"/>
    </row>
    <row r="67" spans="2:18" s="208" customFormat="1" x14ac:dyDescent="0.2">
      <c r="B67" s="212"/>
      <c r="C67" s="212"/>
      <c r="D67" s="212"/>
      <c r="E67" s="212"/>
      <c r="F67" s="212"/>
      <c r="G67" s="212"/>
      <c r="H67" s="212"/>
      <c r="I67" s="212"/>
      <c r="J67" s="212"/>
      <c r="K67" s="212"/>
      <c r="L67" s="212"/>
      <c r="M67" s="212"/>
      <c r="N67" s="212"/>
      <c r="O67" s="212"/>
      <c r="P67" s="212"/>
      <c r="Q67" s="212"/>
      <c r="R67" s="212"/>
    </row>
    <row r="68" spans="2:18" s="208" customFormat="1" x14ac:dyDescent="0.2">
      <c r="B68" s="212"/>
      <c r="C68" s="212"/>
      <c r="D68" s="212"/>
      <c r="E68" s="212"/>
      <c r="F68" s="212"/>
      <c r="G68" s="212"/>
      <c r="H68" s="212"/>
      <c r="I68" s="212"/>
      <c r="J68" s="212"/>
      <c r="K68" s="212"/>
      <c r="L68" s="212"/>
      <c r="M68" s="212"/>
      <c r="N68" s="212"/>
      <c r="O68" s="212"/>
      <c r="P68" s="212"/>
      <c r="Q68" s="212"/>
      <c r="R68" s="212"/>
    </row>
    <row r="69" spans="2:18" s="208" customFormat="1" x14ac:dyDescent="0.2">
      <c r="B69" s="212"/>
      <c r="C69" s="212"/>
      <c r="D69" s="212"/>
      <c r="E69" s="212"/>
      <c r="F69" s="212"/>
      <c r="G69" s="212"/>
      <c r="H69" s="212"/>
      <c r="I69" s="212"/>
      <c r="J69" s="212"/>
      <c r="K69" s="212"/>
      <c r="L69" s="212"/>
      <c r="M69" s="212"/>
      <c r="N69" s="212"/>
      <c r="O69" s="212"/>
      <c r="P69" s="212"/>
      <c r="Q69" s="212"/>
      <c r="R69" s="212"/>
    </row>
    <row r="70" spans="2:18" s="208" customFormat="1" x14ac:dyDescent="0.2">
      <c r="B70" s="212"/>
      <c r="C70" s="212"/>
      <c r="D70" s="212"/>
      <c r="E70" s="212"/>
      <c r="F70" s="212"/>
      <c r="G70" s="212"/>
      <c r="H70" s="212"/>
      <c r="I70" s="212"/>
      <c r="J70" s="212"/>
      <c r="K70" s="212"/>
      <c r="L70" s="212"/>
      <c r="M70" s="212"/>
      <c r="N70" s="212"/>
      <c r="O70" s="212"/>
      <c r="P70" s="212"/>
      <c r="Q70" s="212"/>
      <c r="R70" s="212"/>
    </row>
    <row r="71" spans="2:18" s="208" customFormat="1" x14ac:dyDescent="0.2">
      <c r="B71" s="212"/>
      <c r="C71" s="212"/>
      <c r="D71" s="212"/>
      <c r="E71" s="212"/>
      <c r="F71" s="212"/>
      <c r="G71" s="212"/>
      <c r="H71" s="212"/>
      <c r="I71" s="212"/>
      <c r="J71" s="212"/>
      <c r="K71" s="212"/>
      <c r="L71" s="212"/>
      <c r="M71" s="212"/>
      <c r="N71" s="212"/>
      <c r="O71" s="212"/>
      <c r="P71" s="212"/>
      <c r="Q71" s="212"/>
      <c r="R71" s="212"/>
    </row>
    <row r="72" spans="2:18" s="208" customFormat="1" x14ac:dyDescent="0.2">
      <c r="B72" s="212"/>
      <c r="C72" s="212"/>
      <c r="D72" s="212"/>
      <c r="E72" s="212"/>
      <c r="F72" s="212"/>
      <c r="G72" s="212"/>
      <c r="H72" s="212"/>
      <c r="I72" s="212"/>
      <c r="J72" s="212"/>
      <c r="K72" s="212"/>
      <c r="L72" s="212"/>
      <c r="M72" s="212"/>
      <c r="N72" s="212"/>
      <c r="O72" s="212"/>
      <c r="P72" s="212"/>
      <c r="Q72" s="212"/>
      <c r="R72" s="212"/>
    </row>
    <row r="73" spans="2:18" s="208" customFormat="1" x14ac:dyDescent="0.2">
      <c r="B73" s="212"/>
      <c r="C73" s="212"/>
      <c r="D73" s="212"/>
      <c r="E73" s="212"/>
      <c r="F73" s="212"/>
      <c r="G73" s="212"/>
      <c r="H73" s="212"/>
      <c r="I73" s="212"/>
      <c r="J73" s="212"/>
      <c r="K73" s="212"/>
      <c r="L73" s="212"/>
      <c r="M73" s="212"/>
      <c r="N73" s="212"/>
      <c r="O73" s="212"/>
      <c r="P73" s="212"/>
      <c r="Q73" s="212"/>
      <c r="R73" s="212"/>
    </row>
    <row r="74" spans="2:18" s="208" customFormat="1" x14ac:dyDescent="0.2">
      <c r="B74" s="212"/>
      <c r="C74" s="212"/>
      <c r="D74" s="212"/>
      <c r="E74" s="212"/>
      <c r="F74" s="212"/>
      <c r="G74" s="212"/>
      <c r="H74" s="212"/>
      <c r="I74" s="212"/>
      <c r="J74" s="212"/>
      <c r="K74" s="212"/>
      <c r="L74" s="212"/>
      <c r="M74" s="212"/>
      <c r="N74" s="212"/>
      <c r="O74" s="212"/>
      <c r="P74" s="212"/>
      <c r="Q74" s="212"/>
      <c r="R74" s="212"/>
    </row>
    <row r="75" spans="2:18" s="208" customFormat="1" x14ac:dyDescent="0.2">
      <c r="B75" s="212"/>
      <c r="C75" s="212"/>
      <c r="D75" s="212"/>
      <c r="E75" s="212"/>
      <c r="F75" s="212"/>
      <c r="G75" s="212"/>
      <c r="H75" s="212"/>
      <c r="I75" s="212"/>
      <c r="J75" s="212"/>
      <c r="K75" s="212"/>
      <c r="L75" s="212"/>
      <c r="M75" s="212"/>
      <c r="N75" s="212"/>
      <c r="O75" s="212"/>
      <c r="P75" s="212"/>
      <c r="Q75" s="212"/>
      <c r="R75" s="212"/>
    </row>
    <row r="76" spans="2:18" s="208" customFormat="1" x14ac:dyDescent="0.2">
      <c r="B76" s="212"/>
      <c r="C76" s="212"/>
      <c r="D76" s="212"/>
      <c r="E76" s="212"/>
      <c r="F76" s="212"/>
      <c r="G76" s="212"/>
      <c r="H76" s="212"/>
      <c r="I76" s="212"/>
      <c r="J76" s="212"/>
      <c r="K76" s="212"/>
      <c r="L76" s="212"/>
      <c r="M76" s="212"/>
      <c r="N76" s="212"/>
      <c r="O76" s="212"/>
      <c r="P76" s="212"/>
      <c r="Q76" s="212"/>
      <c r="R76" s="212"/>
    </row>
    <row r="77" spans="2:18" s="208" customFormat="1" x14ac:dyDescent="0.2">
      <c r="B77" s="212"/>
      <c r="C77" s="212"/>
      <c r="D77" s="212"/>
      <c r="E77" s="212"/>
      <c r="F77" s="212"/>
      <c r="G77" s="212"/>
      <c r="H77" s="212"/>
      <c r="I77" s="212"/>
      <c r="J77" s="212"/>
      <c r="K77" s="212"/>
      <c r="L77" s="212"/>
      <c r="M77" s="212"/>
      <c r="N77" s="212"/>
      <c r="O77" s="212"/>
      <c r="P77" s="212"/>
      <c r="Q77" s="212"/>
      <c r="R77" s="212"/>
    </row>
    <row r="78" spans="2:18" s="208" customFormat="1" x14ac:dyDescent="0.2">
      <c r="B78" s="212"/>
      <c r="C78" s="212"/>
      <c r="D78" s="212"/>
      <c r="E78" s="212"/>
      <c r="F78" s="212"/>
      <c r="G78" s="212"/>
      <c r="H78" s="212"/>
      <c r="I78" s="212"/>
      <c r="J78" s="212"/>
      <c r="K78" s="212"/>
      <c r="L78" s="212"/>
      <c r="M78" s="212"/>
      <c r="N78" s="212"/>
      <c r="O78" s="212"/>
      <c r="P78" s="212"/>
      <c r="Q78" s="212"/>
      <c r="R78" s="212"/>
    </row>
    <row r="79" spans="2:18" s="208" customFormat="1" x14ac:dyDescent="0.2">
      <c r="B79" s="212"/>
      <c r="C79" s="212"/>
      <c r="D79" s="212"/>
      <c r="E79" s="212"/>
      <c r="F79" s="212"/>
      <c r="G79" s="212"/>
      <c r="H79" s="212"/>
      <c r="I79" s="212"/>
      <c r="J79" s="212"/>
      <c r="K79" s="212"/>
      <c r="L79" s="212"/>
      <c r="M79" s="212"/>
      <c r="N79" s="212"/>
      <c r="O79" s="212"/>
      <c r="P79" s="212"/>
      <c r="Q79" s="212"/>
      <c r="R79" s="212"/>
    </row>
    <row r="80" spans="2:18" s="208" customFormat="1" x14ac:dyDescent="0.2">
      <c r="B80" s="212"/>
      <c r="C80" s="212"/>
      <c r="D80" s="212"/>
      <c r="E80" s="212"/>
      <c r="F80" s="212"/>
      <c r="G80" s="212"/>
      <c r="H80" s="212"/>
      <c r="I80" s="212"/>
      <c r="J80" s="212"/>
      <c r="K80" s="212"/>
      <c r="L80" s="212"/>
      <c r="M80" s="212"/>
      <c r="N80" s="212"/>
      <c r="O80" s="212"/>
      <c r="P80" s="212"/>
      <c r="Q80" s="212"/>
      <c r="R80" s="212"/>
    </row>
    <row r="81" spans="2:18" s="208" customFormat="1" x14ac:dyDescent="0.2">
      <c r="B81" s="212"/>
      <c r="C81" s="212"/>
      <c r="D81" s="212"/>
      <c r="E81" s="212"/>
      <c r="F81" s="212"/>
      <c r="G81" s="212"/>
      <c r="H81" s="212"/>
      <c r="I81" s="212"/>
      <c r="J81" s="212"/>
      <c r="K81" s="212"/>
      <c r="L81" s="212"/>
      <c r="M81" s="212"/>
      <c r="N81" s="212"/>
      <c r="O81" s="212"/>
      <c r="P81" s="212"/>
      <c r="Q81" s="212"/>
      <c r="R81" s="212"/>
    </row>
    <row r="82" spans="2:18" s="208" customFormat="1" x14ac:dyDescent="0.2">
      <c r="B82" s="212"/>
      <c r="C82" s="212"/>
      <c r="D82" s="212"/>
      <c r="E82" s="212"/>
      <c r="F82" s="212"/>
      <c r="G82" s="212"/>
      <c r="H82" s="212"/>
      <c r="I82" s="212"/>
      <c r="J82" s="212"/>
      <c r="K82" s="212"/>
      <c r="L82" s="212"/>
      <c r="M82" s="212"/>
      <c r="N82" s="212"/>
      <c r="O82" s="212"/>
      <c r="P82" s="212"/>
      <c r="Q82" s="212"/>
      <c r="R82" s="212"/>
    </row>
    <row r="83" spans="2:18" s="208" customFormat="1" x14ac:dyDescent="0.2">
      <c r="B83" s="212"/>
      <c r="C83" s="212"/>
      <c r="D83" s="212"/>
      <c r="E83" s="212"/>
      <c r="F83" s="212"/>
      <c r="G83" s="212"/>
      <c r="H83" s="212"/>
      <c r="I83" s="212"/>
      <c r="J83" s="212"/>
      <c r="K83" s="212"/>
      <c r="L83" s="212"/>
      <c r="M83" s="212"/>
      <c r="N83" s="212"/>
      <c r="O83" s="212"/>
      <c r="P83" s="212"/>
      <c r="Q83" s="212"/>
      <c r="R83" s="212"/>
    </row>
    <row r="84" spans="2:18" s="208" customFormat="1" x14ac:dyDescent="0.2">
      <c r="B84" s="212"/>
      <c r="C84" s="212"/>
      <c r="D84" s="212"/>
      <c r="E84" s="212"/>
      <c r="F84" s="212"/>
      <c r="G84" s="212"/>
      <c r="H84" s="212"/>
      <c r="I84" s="212"/>
      <c r="J84" s="212"/>
      <c r="K84" s="212"/>
      <c r="L84" s="212"/>
      <c r="M84" s="212"/>
      <c r="N84" s="212"/>
      <c r="O84" s="212"/>
      <c r="P84" s="212"/>
      <c r="Q84" s="212"/>
      <c r="R84" s="212"/>
    </row>
    <row r="85" spans="2:18" s="208" customFormat="1" x14ac:dyDescent="0.2">
      <c r="B85" s="212"/>
      <c r="C85" s="212"/>
      <c r="D85" s="212"/>
      <c r="E85" s="212"/>
      <c r="F85" s="212"/>
      <c r="G85" s="212"/>
      <c r="H85" s="212"/>
      <c r="I85" s="212"/>
      <c r="J85" s="212"/>
      <c r="K85" s="212"/>
      <c r="L85" s="212"/>
      <c r="M85" s="212"/>
      <c r="N85" s="212"/>
      <c r="O85" s="212"/>
      <c r="P85" s="212"/>
      <c r="Q85" s="212"/>
      <c r="R85" s="212"/>
    </row>
    <row r="86" spans="2:18" s="208" customFormat="1" x14ac:dyDescent="0.2">
      <c r="B86" s="212"/>
      <c r="C86" s="212"/>
      <c r="D86" s="212"/>
      <c r="E86" s="212"/>
      <c r="F86" s="212"/>
      <c r="G86" s="212"/>
      <c r="H86" s="212"/>
      <c r="I86" s="212"/>
      <c r="J86" s="212"/>
      <c r="K86" s="212"/>
      <c r="L86" s="212"/>
      <c r="M86" s="212"/>
      <c r="N86" s="212"/>
      <c r="O86" s="212"/>
      <c r="P86" s="212"/>
      <c r="Q86" s="212"/>
      <c r="R86" s="212"/>
    </row>
    <row r="87" spans="2:18" s="208" customFormat="1" x14ac:dyDescent="0.2">
      <c r="B87" s="212"/>
      <c r="C87" s="212"/>
      <c r="D87" s="212"/>
      <c r="E87" s="212"/>
      <c r="F87" s="212"/>
      <c r="G87" s="212"/>
      <c r="H87" s="212"/>
      <c r="I87" s="212"/>
      <c r="J87" s="212"/>
      <c r="K87" s="212"/>
      <c r="L87" s="212"/>
      <c r="M87" s="212"/>
      <c r="N87" s="212"/>
      <c r="O87" s="212"/>
      <c r="P87" s="212"/>
      <c r="Q87" s="212"/>
      <c r="R87" s="212"/>
    </row>
    <row r="88" spans="2:18" s="208" customFormat="1" x14ac:dyDescent="0.2">
      <c r="B88" s="212"/>
      <c r="C88" s="212"/>
      <c r="D88" s="212"/>
      <c r="E88" s="212"/>
      <c r="F88" s="212"/>
      <c r="G88" s="212"/>
      <c r="H88" s="212"/>
      <c r="I88" s="212"/>
      <c r="J88" s="212"/>
      <c r="K88" s="212"/>
      <c r="L88" s="212"/>
      <c r="M88" s="212"/>
      <c r="N88" s="212"/>
      <c r="O88" s="212"/>
      <c r="P88" s="212"/>
      <c r="Q88" s="212"/>
      <c r="R88" s="212"/>
    </row>
    <row r="89" spans="2:18" s="208" customFormat="1" x14ac:dyDescent="0.2">
      <c r="B89" s="212"/>
      <c r="C89" s="212"/>
      <c r="D89" s="212"/>
      <c r="E89" s="212"/>
      <c r="F89" s="212"/>
      <c r="G89" s="212"/>
      <c r="H89" s="212"/>
      <c r="I89" s="212"/>
      <c r="J89" s="212"/>
      <c r="K89" s="212"/>
      <c r="L89" s="212"/>
      <c r="M89" s="212"/>
      <c r="N89" s="212"/>
      <c r="O89" s="212"/>
      <c r="P89" s="212"/>
      <c r="Q89" s="212"/>
      <c r="R89" s="212"/>
    </row>
    <row r="90" spans="2:18" s="208" customFormat="1" x14ac:dyDescent="0.2">
      <c r="B90" s="212"/>
      <c r="C90" s="212"/>
      <c r="D90" s="212"/>
      <c r="E90" s="212"/>
      <c r="F90" s="212"/>
      <c r="G90" s="212"/>
      <c r="H90" s="212"/>
      <c r="I90" s="212"/>
      <c r="J90" s="212"/>
      <c r="K90" s="212"/>
      <c r="L90" s="212"/>
      <c r="M90" s="212"/>
      <c r="N90" s="212"/>
      <c r="O90" s="212"/>
      <c r="P90" s="212"/>
      <c r="Q90" s="212"/>
      <c r="R90" s="212"/>
    </row>
    <row r="91" spans="2:18" s="208" customFormat="1" x14ac:dyDescent="0.2">
      <c r="B91" s="212"/>
      <c r="C91" s="212"/>
      <c r="D91" s="212"/>
      <c r="E91" s="212"/>
      <c r="F91" s="212"/>
      <c r="G91" s="212"/>
      <c r="H91" s="212"/>
      <c r="I91" s="212"/>
      <c r="J91" s="212"/>
      <c r="K91" s="212"/>
      <c r="L91" s="212"/>
      <c r="M91" s="212"/>
      <c r="N91" s="212"/>
      <c r="O91" s="212"/>
      <c r="P91" s="212"/>
      <c r="Q91" s="212"/>
      <c r="R91" s="212"/>
    </row>
    <row r="92" spans="2:18" s="208" customFormat="1" x14ac:dyDescent="0.2">
      <c r="B92" s="212"/>
      <c r="C92" s="212"/>
      <c r="D92" s="212"/>
      <c r="E92" s="212"/>
      <c r="F92" s="212"/>
      <c r="G92" s="212"/>
      <c r="H92" s="212"/>
      <c r="I92" s="212"/>
      <c r="J92" s="212"/>
      <c r="K92" s="212"/>
      <c r="L92" s="212"/>
      <c r="M92" s="212"/>
      <c r="N92" s="212"/>
      <c r="O92" s="212"/>
      <c r="P92" s="212"/>
      <c r="Q92" s="212"/>
      <c r="R92" s="212"/>
    </row>
    <row r="93" spans="2:18" s="208" customFormat="1" x14ac:dyDescent="0.2">
      <c r="B93" s="212"/>
      <c r="C93" s="212"/>
      <c r="D93" s="212"/>
      <c r="E93" s="212"/>
      <c r="F93" s="212"/>
      <c r="G93" s="212"/>
      <c r="H93" s="212"/>
      <c r="I93" s="212"/>
      <c r="J93" s="212"/>
      <c r="K93" s="212"/>
      <c r="L93" s="212"/>
      <c r="M93" s="212"/>
      <c r="N93" s="212"/>
      <c r="O93" s="212"/>
      <c r="P93" s="212"/>
      <c r="Q93" s="212"/>
      <c r="R93" s="212"/>
    </row>
    <row r="94" spans="2:18" s="208" customFormat="1" x14ac:dyDescent="0.2">
      <c r="B94" s="212"/>
      <c r="C94" s="212"/>
      <c r="D94" s="212"/>
      <c r="E94" s="212"/>
      <c r="F94" s="212"/>
      <c r="G94" s="212"/>
      <c r="H94" s="212"/>
      <c r="I94" s="212"/>
      <c r="J94" s="212"/>
      <c r="K94" s="212"/>
      <c r="L94" s="212"/>
      <c r="M94" s="212"/>
      <c r="N94" s="212"/>
      <c r="O94" s="212"/>
      <c r="P94" s="212"/>
      <c r="Q94" s="212"/>
      <c r="R94" s="212"/>
    </row>
    <row r="95" spans="2:18" s="208" customFormat="1" x14ac:dyDescent="0.2">
      <c r="B95" s="212"/>
      <c r="C95" s="212"/>
      <c r="D95" s="212"/>
      <c r="E95" s="212"/>
      <c r="F95" s="212"/>
      <c r="G95" s="212"/>
      <c r="H95" s="212"/>
      <c r="I95" s="212"/>
      <c r="J95" s="212"/>
      <c r="K95" s="212"/>
      <c r="L95" s="212"/>
      <c r="M95" s="212"/>
      <c r="N95" s="212"/>
      <c r="O95" s="212"/>
      <c r="P95" s="212"/>
      <c r="Q95" s="212"/>
      <c r="R95" s="212"/>
    </row>
    <row r="96" spans="2:18" s="208" customFormat="1" x14ac:dyDescent="0.2">
      <c r="B96" s="212"/>
      <c r="C96" s="212"/>
      <c r="D96" s="212"/>
      <c r="E96" s="212"/>
      <c r="F96" s="212"/>
      <c r="G96" s="212"/>
      <c r="H96" s="212"/>
      <c r="I96" s="212"/>
      <c r="J96" s="212"/>
      <c r="K96" s="212"/>
      <c r="L96" s="212"/>
      <c r="M96" s="212"/>
      <c r="N96" s="212"/>
      <c r="O96" s="212"/>
      <c r="P96" s="212"/>
      <c r="Q96" s="212"/>
      <c r="R96" s="212"/>
    </row>
    <row r="97" spans="2:18" s="208" customFormat="1" x14ac:dyDescent="0.2">
      <c r="B97" s="212"/>
      <c r="C97" s="212"/>
      <c r="D97" s="212"/>
      <c r="E97" s="212"/>
      <c r="F97" s="212"/>
      <c r="G97" s="212"/>
      <c r="H97" s="212"/>
      <c r="I97" s="212"/>
      <c r="J97" s="212"/>
      <c r="K97" s="212"/>
      <c r="L97" s="212"/>
      <c r="M97" s="212"/>
      <c r="N97" s="212"/>
      <c r="O97" s="212"/>
      <c r="P97" s="212"/>
      <c r="Q97" s="212"/>
      <c r="R97" s="212"/>
    </row>
    <row r="98" spans="2:18" s="208" customFormat="1" x14ac:dyDescent="0.2">
      <c r="B98" s="212"/>
      <c r="C98" s="212"/>
      <c r="D98" s="212"/>
      <c r="E98" s="212"/>
      <c r="F98" s="212"/>
      <c r="G98" s="212"/>
      <c r="H98" s="212"/>
      <c r="I98" s="212"/>
      <c r="J98" s="212"/>
      <c r="K98" s="212"/>
      <c r="L98" s="212"/>
      <c r="M98" s="212"/>
      <c r="N98" s="212"/>
      <c r="O98" s="212"/>
      <c r="P98" s="212"/>
      <c r="Q98" s="212"/>
      <c r="R98" s="212"/>
    </row>
    <row r="99" spans="2:18" s="208" customFormat="1" x14ac:dyDescent="0.2">
      <c r="B99" s="212"/>
      <c r="C99" s="212"/>
      <c r="D99" s="212"/>
      <c r="E99" s="212"/>
      <c r="F99" s="212"/>
      <c r="G99" s="212"/>
      <c r="H99" s="212"/>
      <c r="I99" s="212"/>
      <c r="J99" s="212"/>
      <c r="K99" s="212"/>
      <c r="L99" s="212"/>
      <c r="M99" s="212"/>
      <c r="N99" s="212"/>
      <c r="O99" s="212"/>
      <c r="P99" s="212"/>
      <c r="Q99" s="212"/>
      <c r="R99" s="212"/>
    </row>
    <row r="100" spans="2:18" s="208" customFormat="1" x14ac:dyDescent="0.2">
      <c r="B100" s="212"/>
      <c r="C100" s="212"/>
      <c r="D100" s="212"/>
      <c r="E100" s="212"/>
      <c r="F100" s="212"/>
      <c r="G100" s="212"/>
      <c r="H100" s="212"/>
      <c r="I100" s="212"/>
      <c r="J100" s="212"/>
      <c r="K100" s="212"/>
      <c r="L100" s="212"/>
      <c r="M100" s="212"/>
      <c r="N100" s="212"/>
      <c r="O100" s="212"/>
      <c r="P100" s="212"/>
      <c r="Q100" s="212"/>
      <c r="R100" s="212"/>
    </row>
    <row r="101" spans="2:18" s="208" customFormat="1" x14ac:dyDescent="0.2">
      <c r="B101" s="212"/>
      <c r="C101" s="212"/>
      <c r="D101" s="212"/>
      <c r="E101" s="212"/>
      <c r="F101" s="212"/>
      <c r="G101" s="212"/>
      <c r="H101" s="212"/>
      <c r="I101" s="212"/>
      <c r="J101" s="212"/>
      <c r="K101" s="212"/>
      <c r="L101" s="212"/>
      <c r="M101" s="212"/>
      <c r="N101" s="212"/>
      <c r="O101" s="212"/>
      <c r="P101" s="212"/>
      <c r="Q101" s="212"/>
      <c r="R101" s="212"/>
    </row>
    <row r="102" spans="2:18" s="208" customFormat="1" x14ac:dyDescent="0.2">
      <c r="B102" s="212"/>
      <c r="C102" s="212"/>
      <c r="D102" s="212"/>
      <c r="E102" s="212"/>
      <c r="F102" s="212"/>
      <c r="G102" s="212"/>
      <c r="H102" s="212"/>
      <c r="I102" s="212"/>
      <c r="J102" s="212"/>
      <c r="K102" s="212"/>
      <c r="L102" s="212"/>
      <c r="M102" s="212"/>
      <c r="N102" s="212"/>
      <c r="O102" s="212"/>
      <c r="P102" s="212"/>
      <c r="Q102" s="212"/>
      <c r="R102" s="212"/>
    </row>
    <row r="103" spans="2:18" s="208" customFormat="1" x14ac:dyDescent="0.2">
      <c r="B103" s="212"/>
      <c r="C103" s="212"/>
      <c r="D103" s="212"/>
      <c r="E103" s="212"/>
      <c r="F103" s="212"/>
      <c r="G103" s="212"/>
      <c r="H103" s="212"/>
      <c r="I103" s="212"/>
      <c r="J103" s="212"/>
      <c r="K103" s="212"/>
      <c r="L103" s="212"/>
      <c r="M103" s="212"/>
      <c r="N103" s="212"/>
      <c r="O103" s="212"/>
      <c r="P103" s="212"/>
      <c r="Q103" s="212"/>
      <c r="R103" s="212"/>
    </row>
    <row r="104" spans="2:18" s="208" customFormat="1" x14ac:dyDescent="0.2">
      <c r="B104" s="212"/>
      <c r="C104" s="212"/>
      <c r="D104" s="212"/>
      <c r="E104" s="212"/>
      <c r="F104" s="212"/>
      <c r="G104" s="212"/>
      <c r="H104" s="212"/>
      <c r="I104" s="212"/>
      <c r="J104" s="212"/>
      <c r="K104" s="212"/>
      <c r="L104" s="212"/>
      <c r="M104" s="212"/>
      <c r="N104" s="212"/>
      <c r="O104" s="212"/>
      <c r="P104" s="212"/>
      <c r="Q104" s="212"/>
      <c r="R104" s="212"/>
    </row>
    <row r="105" spans="2:18" s="208" customFormat="1" x14ac:dyDescent="0.2">
      <c r="B105" s="212"/>
      <c r="C105" s="212"/>
      <c r="D105" s="212"/>
      <c r="E105" s="212"/>
      <c r="F105" s="212"/>
      <c r="G105" s="212"/>
      <c r="H105" s="212"/>
      <c r="I105" s="212"/>
      <c r="J105" s="212"/>
      <c r="K105" s="212"/>
      <c r="L105" s="212"/>
      <c r="M105" s="212"/>
      <c r="N105" s="212"/>
      <c r="O105" s="212"/>
      <c r="P105" s="212"/>
      <c r="Q105" s="212"/>
      <c r="R105" s="212"/>
    </row>
    <row r="106" spans="2:18" s="208" customFormat="1" x14ac:dyDescent="0.2">
      <c r="B106" s="212"/>
      <c r="C106" s="212"/>
      <c r="D106" s="212"/>
      <c r="E106" s="212"/>
      <c r="F106" s="212"/>
      <c r="G106" s="212"/>
      <c r="H106" s="212"/>
      <c r="I106" s="212"/>
      <c r="J106" s="212"/>
      <c r="K106" s="212"/>
      <c r="L106" s="212"/>
      <c r="M106" s="212"/>
      <c r="N106" s="212"/>
      <c r="O106" s="212"/>
      <c r="P106" s="212"/>
      <c r="Q106" s="212"/>
      <c r="R106" s="212"/>
    </row>
    <row r="107" spans="2:18" s="208" customFormat="1" x14ac:dyDescent="0.2">
      <c r="B107" s="212"/>
      <c r="C107" s="212"/>
      <c r="D107" s="212"/>
      <c r="E107" s="212"/>
      <c r="F107" s="212"/>
      <c r="G107" s="212"/>
      <c r="H107" s="212"/>
      <c r="I107" s="212"/>
      <c r="J107" s="212"/>
      <c r="K107" s="212"/>
      <c r="L107" s="212"/>
      <c r="M107" s="212"/>
      <c r="N107" s="212"/>
      <c r="O107" s="212"/>
      <c r="P107" s="212"/>
      <c r="Q107" s="212"/>
      <c r="R107" s="212"/>
    </row>
    <row r="108" spans="2:18" s="208" customFormat="1" x14ac:dyDescent="0.2">
      <c r="B108" s="212"/>
      <c r="C108" s="212"/>
      <c r="D108" s="212"/>
      <c r="E108" s="212"/>
      <c r="F108" s="212"/>
      <c r="G108" s="212"/>
      <c r="H108" s="212"/>
      <c r="I108" s="212"/>
      <c r="J108" s="212"/>
      <c r="K108" s="212"/>
      <c r="L108" s="212"/>
      <c r="M108" s="212"/>
      <c r="N108" s="212"/>
      <c r="O108" s="212"/>
      <c r="P108" s="212"/>
      <c r="Q108" s="212"/>
      <c r="R108" s="212"/>
    </row>
    <row r="109" spans="2:18" s="208" customFormat="1" x14ac:dyDescent="0.2">
      <c r="B109" s="212"/>
      <c r="C109" s="212"/>
      <c r="D109" s="212"/>
      <c r="E109" s="212"/>
      <c r="F109" s="212"/>
      <c r="G109" s="212"/>
      <c r="H109" s="212"/>
      <c r="I109" s="212"/>
      <c r="J109" s="212"/>
      <c r="K109" s="212"/>
      <c r="L109" s="212"/>
      <c r="M109" s="212"/>
      <c r="N109" s="212"/>
      <c r="O109" s="212"/>
      <c r="P109" s="212"/>
      <c r="Q109" s="212"/>
      <c r="R109" s="212"/>
    </row>
    <row r="110" spans="2:18" s="208" customFormat="1" x14ac:dyDescent="0.2">
      <c r="B110" s="212"/>
      <c r="C110" s="212"/>
      <c r="D110" s="212"/>
      <c r="E110" s="212"/>
      <c r="F110" s="212"/>
      <c r="G110" s="212"/>
      <c r="H110" s="212"/>
      <c r="I110" s="212"/>
      <c r="J110" s="212"/>
      <c r="K110" s="212"/>
      <c r="L110" s="212"/>
      <c r="M110" s="212"/>
      <c r="N110" s="212"/>
      <c r="O110" s="212"/>
      <c r="P110" s="212"/>
      <c r="Q110" s="212"/>
      <c r="R110" s="212"/>
    </row>
    <row r="111" spans="2:18" s="208" customFormat="1" x14ac:dyDescent="0.2">
      <c r="B111" s="212"/>
      <c r="C111" s="212"/>
      <c r="D111" s="212"/>
      <c r="E111" s="212"/>
      <c r="F111" s="212"/>
      <c r="G111" s="212"/>
      <c r="H111" s="212"/>
      <c r="I111" s="212"/>
      <c r="J111" s="212"/>
      <c r="K111" s="212"/>
      <c r="L111" s="212"/>
      <c r="M111" s="212"/>
      <c r="N111" s="212"/>
      <c r="O111" s="212"/>
      <c r="P111" s="212"/>
      <c r="Q111" s="212"/>
      <c r="R111" s="212"/>
    </row>
    <row r="112" spans="2:18" s="208" customFormat="1" x14ac:dyDescent="0.2">
      <c r="B112" s="212"/>
      <c r="C112" s="212"/>
      <c r="D112" s="212"/>
      <c r="E112" s="212"/>
      <c r="F112" s="212"/>
      <c r="G112" s="212"/>
      <c r="H112" s="212"/>
      <c r="I112" s="212"/>
      <c r="J112" s="212"/>
      <c r="K112" s="212"/>
      <c r="L112" s="212"/>
      <c r="M112" s="212"/>
      <c r="N112" s="212"/>
      <c r="O112" s="212"/>
      <c r="P112" s="212"/>
      <c r="Q112" s="212"/>
      <c r="R112" s="212"/>
    </row>
    <row r="113" spans="2:18" s="208" customFormat="1" x14ac:dyDescent="0.2">
      <c r="B113" s="212"/>
      <c r="C113" s="212"/>
      <c r="D113" s="212"/>
      <c r="E113" s="212"/>
      <c r="F113" s="212"/>
      <c r="G113" s="212"/>
      <c r="H113" s="212"/>
      <c r="I113" s="212"/>
      <c r="J113" s="212"/>
      <c r="K113" s="212"/>
      <c r="L113" s="212"/>
      <c r="M113" s="212"/>
      <c r="N113" s="212"/>
      <c r="O113" s="212"/>
      <c r="P113" s="212"/>
      <c r="Q113" s="212"/>
      <c r="R113" s="212"/>
    </row>
    <row r="114" spans="2:18" s="208" customFormat="1" x14ac:dyDescent="0.2">
      <c r="B114" s="212"/>
      <c r="C114" s="212"/>
      <c r="D114" s="212"/>
      <c r="E114" s="212"/>
      <c r="F114" s="212"/>
      <c r="G114" s="212"/>
      <c r="H114" s="212"/>
      <c r="I114" s="212"/>
      <c r="J114" s="212"/>
      <c r="K114" s="212"/>
      <c r="L114" s="212"/>
      <c r="M114" s="212"/>
      <c r="N114" s="212"/>
      <c r="O114" s="212"/>
      <c r="P114" s="212"/>
      <c r="Q114" s="212"/>
      <c r="R114" s="212"/>
    </row>
    <row r="115" spans="2:18" s="208" customFormat="1" x14ac:dyDescent="0.2">
      <c r="B115" s="212"/>
      <c r="C115" s="212"/>
      <c r="D115" s="212"/>
      <c r="E115" s="212"/>
      <c r="F115" s="212"/>
      <c r="G115" s="212"/>
      <c r="H115" s="212"/>
      <c r="I115" s="212"/>
      <c r="J115" s="212"/>
      <c r="K115" s="212"/>
      <c r="L115" s="212"/>
      <c r="M115" s="212"/>
      <c r="N115" s="212"/>
      <c r="O115" s="212"/>
      <c r="P115" s="212"/>
      <c r="Q115" s="212"/>
      <c r="R115" s="212"/>
    </row>
    <row r="116" spans="2:18" s="208" customFormat="1" x14ac:dyDescent="0.2">
      <c r="B116" s="212"/>
      <c r="C116" s="212"/>
      <c r="D116" s="212"/>
      <c r="E116" s="212"/>
      <c r="F116" s="212"/>
      <c r="G116" s="212"/>
      <c r="H116" s="212"/>
      <c r="I116" s="212"/>
      <c r="J116" s="212"/>
      <c r="K116" s="212"/>
      <c r="L116" s="212"/>
      <c r="M116" s="212"/>
      <c r="N116" s="212"/>
      <c r="O116" s="212"/>
      <c r="P116" s="212"/>
      <c r="Q116" s="212"/>
      <c r="R116" s="212"/>
    </row>
    <row r="117" spans="2:18" s="208" customFormat="1" x14ac:dyDescent="0.2">
      <c r="B117" s="212"/>
      <c r="C117" s="212"/>
      <c r="D117" s="212"/>
      <c r="E117" s="212"/>
      <c r="F117" s="212"/>
      <c r="G117" s="212"/>
      <c r="H117" s="212"/>
      <c r="I117" s="212"/>
      <c r="J117" s="212"/>
      <c r="K117" s="212"/>
      <c r="L117" s="212"/>
      <c r="M117" s="212"/>
      <c r="N117" s="212"/>
      <c r="O117" s="212"/>
      <c r="P117" s="212"/>
      <c r="Q117" s="212"/>
      <c r="R117" s="212"/>
    </row>
    <row r="118" spans="2:18" s="208" customFormat="1" x14ac:dyDescent="0.2">
      <c r="B118" s="212"/>
      <c r="C118" s="212"/>
      <c r="D118" s="212"/>
      <c r="E118" s="212"/>
      <c r="F118" s="212"/>
      <c r="G118" s="212"/>
      <c r="H118" s="212"/>
      <c r="I118" s="212"/>
      <c r="J118" s="212"/>
      <c r="K118" s="212"/>
      <c r="L118" s="212"/>
      <c r="M118" s="212"/>
      <c r="N118" s="212"/>
      <c r="O118" s="212"/>
      <c r="P118" s="212"/>
      <c r="Q118" s="212"/>
      <c r="R118" s="212"/>
    </row>
    <row r="119" spans="2:18" s="208" customFormat="1" x14ac:dyDescent="0.2">
      <c r="B119" s="212"/>
      <c r="C119" s="212"/>
      <c r="D119" s="212"/>
      <c r="E119" s="212"/>
      <c r="F119" s="212"/>
      <c r="G119" s="212"/>
      <c r="H119" s="212"/>
      <c r="I119" s="212"/>
      <c r="J119" s="212"/>
      <c r="K119" s="212"/>
      <c r="L119" s="212"/>
      <c r="M119" s="212"/>
      <c r="N119" s="212"/>
      <c r="O119" s="212"/>
      <c r="P119" s="212"/>
      <c r="Q119" s="212"/>
      <c r="R119" s="212"/>
    </row>
    <row r="120" spans="2:18" s="208" customFormat="1" x14ac:dyDescent="0.2">
      <c r="B120" s="212"/>
      <c r="C120" s="212"/>
      <c r="D120" s="212"/>
      <c r="E120" s="212"/>
      <c r="F120" s="212"/>
      <c r="G120" s="212"/>
      <c r="H120" s="212"/>
      <c r="I120" s="212"/>
      <c r="J120" s="212"/>
      <c r="K120" s="212"/>
      <c r="L120" s="212"/>
      <c r="M120" s="212"/>
      <c r="N120" s="212"/>
      <c r="O120" s="212"/>
      <c r="P120" s="212"/>
      <c r="Q120" s="212"/>
      <c r="R120" s="212"/>
    </row>
    <row r="121" spans="2:18" s="208" customFormat="1" x14ac:dyDescent="0.2">
      <c r="B121" s="212"/>
      <c r="C121" s="212"/>
      <c r="D121" s="212"/>
      <c r="E121" s="212"/>
      <c r="F121" s="212"/>
      <c r="G121" s="212"/>
      <c r="H121" s="212"/>
      <c r="I121" s="212"/>
      <c r="J121" s="212"/>
      <c r="K121" s="212"/>
      <c r="L121" s="212"/>
      <c r="M121" s="212"/>
      <c r="N121" s="212"/>
      <c r="O121" s="212"/>
      <c r="P121" s="212"/>
      <c r="Q121" s="212"/>
      <c r="R121" s="212"/>
    </row>
    <row r="122" spans="2:18" s="208" customFormat="1" x14ac:dyDescent="0.2">
      <c r="B122" s="212"/>
      <c r="C122" s="212"/>
      <c r="D122" s="212"/>
      <c r="E122" s="212"/>
      <c r="F122" s="212"/>
      <c r="G122" s="212"/>
      <c r="H122" s="212"/>
      <c r="I122" s="212"/>
      <c r="J122" s="212"/>
      <c r="K122" s="212"/>
      <c r="L122" s="212"/>
      <c r="M122" s="212"/>
      <c r="N122" s="212"/>
      <c r="O122" s="212"/>
      <c r="P122" s="212"/>
      <c r="Q122" s="212"/>
      <c r="R122" s="212"/>
    </row>
    <row r="123" spans="2:18" s="208" customFormat="1" x14ac:dyDescent="0.2">
      <c r="B123" s="212"/>
      <c r="C123" s="212"/>
      <c r="D123" s="212"/>
      <c r="E123" s="212"/>
      <c r="F123" s="212"/>
      <c r="G123" s="212"/>
      <c r="H123" s="212"/>
      <c r="I123" s="212"/>
      <c r="J123" s="212"/>
      <c r="K123" s="212"/>
      <c r="L123" s="212"/>
      <c r="M123" s="212"/>
      <c r="N123" s="212"/>
      <c r="O123" s="212"/>
      <c r="P123" s="212"/>
      <c r="Q123" s="212"/>
      <c r="R123" s="212"/>
    </row>
    <row r="124" spans="2:18" s="208" customFormat="1" x14ac:dyDescent="0.2">
      <c r="B124" s="212"/>
      <c r="C124" s="212"/>
      <c r="D124" s="212"/>
      <c r="E124" s="212"/>
      <c r="F124" s="212"/>
      <c r="G124" s="212"/>
      <c r="H124" s="212"/>
      <c r="I124" s="212"/>
      <c r="J124" s="212"/>
      <c r="K124" s="212"/>
      <c r="L124" s="212"/>
      <c r="M124" s="212"/>
      <c r="N124" s="212"/>
      <c r="O124" s="212"/>
      <c r="P124" s="212"/>
      <c r="Q124" s="212"/>
      <c r="R124" s="212"/>
    </row>
    <row r="125" spans="2:18" s="208" customFormat="1" x14ac:dyDescent="0.2">
      <c r="B125" s="212"/>
      <c r="C125" s="212"/>
      <c r="D125" s="212"/>
      <c r="E125" s="212"/>
      <c r="F125" s="212"/>
      <c r="G125" s="212"/>
      <c r="H125" s="212"/>
      <c r="I125" s="212"/>
      <c r="J125" s="212"/>
      <c r="K125" s="212"/>
      <c r="L125" s="212"/>
      <c r="M125" s="212"/>
      <c r="N125" s="212"/>
      <c r="O125" s="212"/>
      <c r="P125" s="212"/>
      <c r="Q125" s="212"/>
      <c r="R125" s="212"/>
    </row>
    <row r="126" spans="2:18" s="208" customFormat="1" x14ac:dyDescent="0.2">
      <c r="B126" s="212"/>
      <c r="C126" s="212"/>
      <c r="D126" s="212"/>
      <c r="E126" s="212"/>
      <c r="F126" s="212"/>
      <c r="G126" s="212"/>
      <c r="H126" s="212"/>
      <c r="I126" s="212"/>
      <c r="J126" s="212"/>
      <c r="K126" s="212"/>
      <c r="L126" s="212"/>
      <c r="M126" s="212"/>
      <c r="N126" s="212"/>
      <c r="O126" s="212"/>
      <c r="P126" s="212"/>
      <c r="Q126" s="212"/>
      <c r="R126" s="212"/>
    </row>
    <row r="127" spans="2:18" s="208" customFormat="1" x14ac:dyDescent="0.2">
      <c r="B127" s="212"/>
      <c r="C127" s="212"/>
      <c r="D127" s="212"/>
      <c r="E127" s="212"/>
      <c r="F127" s="212"/>
      <c r="G127" s="212"/>
      <c r="H127" s="212"/>
      <c r="I127" s="212"/>
      <c r="J127" s="212"/>
      <c r="K127" s="212"/>
      <c r="L127" s="212"/>
      <c r="M127" s="212"/>
      <c r="N127" s="212"/>
      <c r="O127" s="212"/>
      <c r="P127" s="212"/>
      <c r="Q127" s="212"/>
      <c r="R127" s="212"/>
    </row>
    <row r="128" spans="2:18" s="208" customFormat="1" x14ac:dyDescent="0.2">
      <c r="B128" s="212"/>
      <c r="C128" s="212"/>
      <c r="D128" s="212"/>
      <c r="E128" s="212"/>
      <c r="F128" s="212"/>
      <c r="G128" s="212"/>
      <c r="H128" s="212"/>
      <c r="I128" s="212"/>
      <c r="J128" s="212"/>
      <c r="K128" s="212"/>
      <c r="L128" s="212"/>
      <c r="M128" s="212"/>
      <c r="N128" s="212"/>
      <c r="O128" s="212"/>
      <c r="P128" s="212"/>
      <c r="Q128" s="212"/>
      <c r="R128" s="212"/>
    </row>
    <row r="129" spans="2:18" s="208" customFormat="1" x14ac:dyDescent="0.2">
      <c r="B129" s="212"/>
      <c r="C129" s="212"/>
      <c r="D129" s="212"/>
      <c r="E129" s="212"/>
      <c r="F129" s="212"/>
      <c r="G129" s="212"/>
      <c r="H129" s="212"/>
      <c r="I129" s="212"/>
      <c r="J129" s="212"/>
      <c r="K129" s="212"/>
      <c r="L129" s="212"/>
      <c r="M129" s="212"/>
      <c r="N129" s="212"/>
      <c r="O129" s="212"/>
      <c r="P129" s="212"/>
      <c r="Q129" s="212"/>
      <c r="R129" s="212"/>
    </row>
    <row r="130" spans="2:18" s="208" customFormat="1" x14ac:dyDescent="0.2">
      <c r="B130" s="212"/>
      <c r="C130" s="212"/>
      <c r="D130" s="212"/>
      <c r="E130" s="212"/>
      <c r="F130" s="212"/>
      <c r="G130" s="212"/>
      <c r="H130" s="212"/>
      <c r="I130" s="212"/>
      <c r="J130" s="212"/>
      <c r="K130" s="212"/>
      <c r="L130" s="212"/>
      <c r="M130" s="212"/>
      <c r="N130" s="212"/>
      <c r="O130" s="212"/>
      <c r="P130" s="212"/>
      <c r="Q130" s="212"/>
      <c r="R130" s="212"/>
    </row>
    <row r="131" spans="2:18" s="208" customFormat="1" x14ac:dyDescent="0.2">
      <c r="B131" s="212"/>
      <c r="C131" s="212"/>
      <c r="D131" s="212"/>
      <c r="E131" s="212"/>
      <c r="F131" s="212"/>
      <c r="G131" s="212"/>
      <c r="H131" s="212"/>
      <c r="I131" s="212"/>
      <c r="J131" s="212"/>
      <c r="K131" s="212"/>
      <c r="L131" s="212"/>
      <c r="M131" s="212"/>
      <c r="N131" s="212"/>
      <c r="O131" s="212"/>
      <c r="P131" s="212"/>
      <c r="Q131" s="212"/>
      <c r="R131" s="212"/>
    </row>
    <row r="132" spans="2:18" s="208" customFormat="1" x14ac:dyDescent="0.2">
      <c r="B132" s="212"/>
      <c r="C132" s="212"/>
      <c r="D132" s="212"/>
      <c r="E132" s="212"/>
      <c r="F132" s="212"/>
      <c r="G132" s="212"/>
      <c r="H132" s="212"/>
      <c r="I132" s="212"/>
      <c r="J132" s="212"/>
      <c r="K132" s="212"/>
      <c r="L132" s="212"/>
      <c r="M132" s="212"/>
      <c r="N132" s="212"/>
      <c r="O132" s="212"/>
      <c r="P132" s="212"/>
      <c r="Q132" s="212"/>
      <c r="R132" s="212"/>
    </row>
    <row r="133" spans="2:18" s="208" customFormat="1" x14ac:dyDescent="0.2">
      <c r="B133" s="212"/>
      <c r="C133" s="212"/>
      <c r="D133" s="212"/>
      <c r="E133" s="212"/>
      <c r="F133" s="212"/>
      <c r="G133" s="212"/>
      <c r="H133" s="212"/>
      <c r="I133" s="212"/>
      <c r="J133" s="212"/>
      <c r="K133" s="212"/>
      <c r="L133" s="212"/>
      <c r="M133" s="212"/>
      <c r="N133" s="212"/>
      <c r="O133" s="212"/>
      <c r="P133" s="212"/>
      <c r="Q133" s="212"/>
      <c r="R133" s="212"/>
    </row>
    <row r="134" spans="2:18" s="208" customFormat="1" x14ac:dyDescent="0.2">
      <c r="B134" s="212"/>
      <c r="C134" s="212"/>
      <c r="D134" s="212"/>
      <c r="E134" s="212"/>
      <c r="F134" s="212"/>
      <c r="G134" s="212"/>
      <c r="H134" s="212"/>
      <c r="I134" s="212"/>
      <c r="J134" s="212"/>
      <c r="K134" s="212"/>
      <c r="L134" s="212"/>
      <c r="M134" s="212"/>
      <c r="N134" s="212"/>
      <c r="O134" s="212"/>
      <c r="P134" s="212"/>
      <c r="Q134" s="212"/>
      <c r="R134" s="212"/>
    </row>
    <row r="135" spans="2:18" s="208" customFormat="1" x14ac:dyDescent="0.2">
      <c r="B135" s="212"/>
      <c r="C135" s="212"/>
      <c r="D135" s="212"/>
      <c r="E135" s="212"/>
      <c r="F135" s="212"/>
      <c r="G135" s="212"/>
      <c r="H135" s="212"/>
      <c r="I135" s="212"/>
      <c r="J135" s="212"/>
      <c r="K135" s="212"/>
      <c r="L135" s="212"/>
      <c r="M135" s="212"/>
      <c r="N135" s="212"/>
      <c r="O135" s="212"/>
      <c r="P135" s="212"/>
      <c r="Q135" s="212"/>
      <c r="R135" s="212"/>
    </row>
    <row r="136" spans="2:18" s="208" customFormat="1" x14ac:dyDescent="0.2">
      <c r="B136" s="212"/>
      <c r="C136" s="212"/>
      <c r="D136" s="212"/>
      <c r="E136" s="212"/>
      <c r="F136" s="212"/>
      <c r="G136" s="212"/>
      <c r="H136" s="212"/>
      <c r="I136" s="212"/>
      <c r="J136" s="212"/>
      <c r="K136" s="212"/>
      <c r="L136" s="212"/>
      <c r="M136" s="212"/>
      <c r="N136" s="212"/>
      <c r="O136" s="212"/>
      <c r="P136" s="212"/>
      <c r="Q136" s="212"/>
      <c r="R136" s="212"/>
    </row>
    <row r="137" spans="2:18" s="208" customFormat="1" x14ac:dyDescent="0.2">
      <c r="B137" s="212"/>
      <c r="C137" s="212"/>
      <c r="D137" s="212"/>
      <c r="E137" s="212"/>
      <c r="F137" s="212"/>
      <c r="G137" s="212"/>
      <c r="H137" s="212"/>
      <c r="I137" s="212"/>
      <c r="J137" s="212"/>
      <c r="K137" s="212"/>
      <c r="L137" s="212"/>
      <c r="M137" s="212"/>
      <c r="N137" s="212"/>
      <c r="O137" s="212"/>
      <c r="P137" s="212"/>
      <c r="Q137" s="212"/>
      <c r="R137" s="212"/>
    </row>
    <row r="138" spans="2:18" s="208" customFormat="1" x14ac:dyDescent="0.2">
      <c r="B138" s="212"/>
      <c r="C138" s="212"/>
      <c r="D138" s="212"/>
      <c r="E138" s="212"/>
      <c r="F138" s="212"/>
      <c r="G138" s="212"/>
      <c r="H138" s="212"/>
      <c r="I138" s="212"/>
      <c r="J138" s="212"/>
      <c r="K138" s="212"/>
      <c r="L138" s="212"/>
      <c r="M138" s="212"/>
      <c r="N138" s="212"/>
      <c r="O138" s="212"/>
      <c r="P138" s="212"/>
      <c r="Q138" s="212"/>
      <c r="R138" s="212"/>
    </row>
    <row r="139" spans="2:18" s="208" customFormat="1" x14ac:dyDescent="0.2">
      <c r="B139" s="212"/>
      <c r="C139" s="212"/>
      <c r="D139" s="212"/>
      <c r="E139" s="212"/>
      <c r="F139" s="212"/>
      <c r="G139" s="212"/>
      <c r="H139" s="212"/>
      <c r="I139" s="212"/>
      <c r="J139" s="212"/>
      <c r="K139" s="212"/>
      <c r="L139" s="212"/>
      <c r="M139" s="212"/>
      <c r="N139" s="212"/>
      <c r="O139" s="212"/>
      <c r="P139" s="212"/>
      <c r="Q139" s="212"/>
      <c r="R139" s="212"/>
    </row>
    <row r="140" spans="2:18" s="208" customFormat="1" x14ac:dyDescent="0.2">
      <c r="B140" s="212"/>
      <c r="C140" s="212"/>
      <c r="D140" s="212"/>
      <c r="E140" s="212"/>
      <c r="F140" s="212"/>
      <c r="G140" s="212"/>
      <c r="H140" s="212"/>
      <c r="I140" s="212"/>
      <c r="J140" s="212"/>
      <c r="K140" s="212"/>
      <c r="L140" s="212"/>
      <c r="M140" s="212"/>
      <c r="N140" s="212"/>
      <c r="O140" s="212"/>
      <c r="P140" s="212"/>
      <c r="Q140" s="212"/>
      <c r="R140" s="212"/>
    </row>
    <row r="141" spans="2:18" s="208" customFormat="1" x14ac:dyDescent="0.2">
      <c r="B141" s="212"/>
      <c r="C141" s="212"/>
      <c r="D141" s="212"/>
      <c r="E141" s="212"/>
      <c r="F141" s="212"/>
      <c r="G141" s="212"/>
      <c r="H141" s="212"/>
      <c r="I141" s="212"/>
      <c r="J141" s="212"/>
      <c r="K141" s="212"/>
      <c r="L141" s="212"/>
      <c r="M141" s="212"/>
      <c r="N141" s="212"/>
      <c r="O141" s="212"/>
      <c r="P141" s="212"/>
      <c r="Q141" s="212"/>
      <c r="R141" s="212"/>
    </row>
    <row r="142" spans="2:18" s="208" customFormat="1" x14ac:dyDescent="0.2">
      <c r="B142" s="212"/>
      <c r="C142" s="212"/>
      <c r="D142" s="212"/>
      <c r="E142" s="212"/>
      <c r="F142" s="212"/>
      <c r="G142" s="212"/>
      <c r="H142" s="212"/>
      <c r="I142" s="212"/>
      <c r="J142" s="212"/>
      <c r="K142" s="212"/>
      <c r="L142" s="212"/>
      <c r="M142" s="212"/>
      <c r="N142" s="212"/>
      <c r="O142" s="212"/>
      <c r="P142" s="212"/>
      <c r="Q142" s="212"/>
      <c r="R142" s="212"/>
    </row>
    <row r="143" spans="2:18" s="208" customFormat="1" x14ac:dyDescent="0.2">
      <c r="B143" s="212"/>
      <c r="C143" s="212"/>
      <c r="D143" s="212"/>
      <c r="E143" s="212"/>
      <c r="F143" s="212"/>
      <c r="G143" s="212"/>
      <c r="H143" s="212"/>
      <c r="I143" s="212"/>
      <c r="J143" s="212"/>
      <c r="K143" s="212"/>
      <c r="L143" s="212"/>
      <c r="M143" s="212"/>
      <c r="N143" s="212"/>
      <c r="O143" s="212"/>
      <c r="P143" s="212"/>
      <c r="Q143" s="212"/>
      <c r="R143" s="212"/>
    </row>
    <row r="144" spans="2:18" s="208" customFormat="1" x14ac:dyDescent="0.2">
      <c r="B144" s="212"/>
      <c r="C144" s="212"/>
      <c r="D144" s="212"/>
      <c r="E144" s="212"/>
      <c r="F144" s="212"/>
      <c r="G144" s="212"/>
      <c r="H144" s="212"/>
      <c r="I144" s="212"/>
      <c r="J144" s="212"/>
      <c r="K144" s="212"/>
      <c r="L144" s="212"/>
      <c r="M144" s="212"/>
      <c r="N144" s="212"/>
      <c r="O144" s="212"/>
      <c r="P144" s="212"/>
      <c r="Q144" s="212"/>
      <c r="R144" s="212"/>
    </row>
    <row r="145" spans="2:18" s="208" customFormat="1" x14ac:dyDescent="0.2">
      <c r="B145" s="212"/>
      <c r="C145" s="212"/>
      <c r="D145" s="212"/>
      <c r="E145" s="212"/>
      <c r="F145" s="212"/>
      <c r="G145" s="212"/>
      <c r="H145" s="212"/>
      <c r="I145" s="212"/>
      <c r="J145" s="212"/>
      <c r="K145" s="212"/>
      <c r="L145" s="212"/>
      <c r="M145" s="212"/>
      <c r="N145" s="212"/>
      <c r="O145" s="212"/>
      <c r="P145" s="212"/>
      <c r="Q145" s="212"/>
      <c r="R145" s="212"/>
    </row>
    <row r="146" spans="2:18" s="208" customFormat="1" x14ac:dyDescent="0.2">
      <c r="B146" s="212"/>
      <c r="C146" s="212"/>
      <c r="D146" s="212"/>
      <c r="E146" s="212"/>
      <c r="F146" s="212"/>
      <c r="G146" s="212"/>
      <c r="H146" s="212"/>
      <c r="I146" s="212"/>
      <c r="J146" s="212"/>
      <c r="K146" s="212"/>
      <c r="L146" s="212"/>
      <c r="M146" s="212"/>
      <c r="N146" s="212"/>
      <c r="O146" s="212"/>
      <c r="P146" s="212"/>
      <c r="Q146" s="212"/>
      <c r="R146" s="212"/>
    </row>
    <row r="147" spans="2:18" s="208" customFormat="1" x14ac:dyDescent="0.2">
      <c r="B147" s="212"/>
      <c r="C147" s="212"/>
      <c r="D147" s="212"/>
      <c r="E147" s="212"/>
      <c r="F147" s="212"/>
      <c r="G147" s="212"/>
      <c r="H147" s="212"/>
      <c r="I147" s="212"/>
      <c r="J147" s="212"/>
      <c r="K147" s="212"/>
      <c r="L147" s="212"/>
      <c r="M147" s="212"/>
      <c r="N147" s="212"/>
      <c r="O147" s="212"/>
      <c r="P147" s="212"/>
      <c r="Q147" s="212"/>
      <c r="R147" s="212"/>
    </row>
    <row r="148" spans="2:18" s="208" customFormat="1" x14ac:dyDescent="0.2">
      <c r="B148" s="212"/>
      <c r="C148" s="212"/>
      <c r="D148" s="212"/>
      <c r="E148" s="212"/>
      <c r="F148" s="212"/>
      <c r="G148" s="212"/>
      <c r="H148" s="212"/>
      <c r="I148" s="212"/>
      <c r="J148" s="212"/>
      <c r="K148" s="212"/>
      <c r="L148" s="212"/>
      <c r="M148" s="212"/>
      <c r="N148" s="212"/>
      <c r="O148" s="212"/>
      <c r="P148" s="212"/>
      <c r="Q148" s="212"/>
      <c r="R148" s="212"/>
    </row>
    <row r="149" spans="2:18" s="208" customFormat="1" x14ac:dyDescent="0.2">
      <c r="B149" s="212"/>
      <c r="C149" s="212"/>
      <c r="D149" s="212"/>
      <c r="E149" s="212"/>
      <c r="F149" s="212"/>
      <c r="G149" s="212"/>
      <c r="H149" s="212"/>
      <c r="I149" s="212"/>
      <c r="J149" s="212"/>
      <c r="K149" s="212"/>
      <c r="L149" s="212"/>
      <c r="M149" s="212"/>
      <c r="N149" s="212"/>
      <c r="O149" s="212"/>
      <c r="P149" s="212"/>
      <c r="Q149" s="212"/>
      <c r="R149" s="212"/>
    </row>
    <row r="150" spans="2:18" s="208" customFormat="1" x14ac:dyDescent="0.2">
      <c r="B150" s="212"/>
      <c r="C150" s="212"/>
      <c r="D150" s="212"/>
      <c r="E150" s="212"/>
      <c r="F150" s="212"/>
      <c r="G150" s="212"/>
      <c r="H150" s="212"/>
      <c r="I150" s="212"/>
      <c r="J150" s="212"/>
      <c r="K150" s="212"/>
      <c r="L150" s="212"/>
      <c r="M150" s="212"/>
      <c r="N150" s="212"/>
      <c r="O150" s="212"/>
      <c r="P150" s="212"/>
      <c r="Q150" s="212"/>
      <c r="R150" s="212"/>
    </row>
    <row r="151" spans="2:18" s="208" customFormat="1" x14ac:dyDescent="0.2">
      <c r="B151" s="212"/>
      <c r="C151" s="212"/>
      <c r="D151" s="212"/>
      <c r="E151" s="212"/>
      <c r="F151" s="212"/>
      <c r="G151" s="212"/>
      <c r="H151" s="212"/>
      <c r="I151" s="212"/>
      <c r="J151" s="212"/>
      <c r="K151" s="212"/>
      <c r="L151" s="212"/>
      <c r="M151" s="212"/>
      <c r="N151" s="212"/>
      <c r="O151" s="212"/>
      <c r="P151" s="212"/>
      <c r="Q151" s="212"/>
      <c r="R151" s="212"/>
    </row>
    <row r="152" spans="2:18" s="208" customFormat="1" x14ac:dyDescent="0.2">
      <c r="B152" s="212"/>
      <c r="C152" s="212"/>
      <c r="D152" s="212"/>
      <c r="E152" s="212"/>
      <c r="F152" s="212"/>
      <c r="G152" s="212"/>
      <c r="H152" s="212"/>
      <c r="I152" s="212"/>
      <c r="J152" s="212"/>
      <c r="K152" s="212"/>
      <c r="L152" s="212"/>
      <c r="M152" s="212"/>
      <c r="N152" s="212"/>
      <c r="O152" s="212"/>
      <c r="P152" s="212"/>
      <c r="Q152" s="212"/>
      <c r="R152" s="212"/>
    </row>
    <row r="153" spans="2:18" s="208" customFormat="1" x14ac:dyDescent="0.2">
      <c r="B153" s="212"/>
      <c r="C153" s="212"/>
      <c r="D153" s="212"/>
      <c r="E153" s="212"/>
      <c r="F153" s="212"/>
      <c r="G153" s="212"/>
      <c r="H153" s="212"/>
      <c r="I153" s="212"/>
      <c r="J153" s="212"/>
      <c r="K153" s="212"/>
      <c r="L153" s="212"/>
      <c r="M153" s="212"/>
      <c r="N153" s="212"/>
      <c r="O153" s="212"/>
      <c r="P153" s="212"/>
      <c r="Q153" s="212"/>
      <c r="R153" s="212"/>
    </row>
    <row r="154" spans="2:18" s="208" customFormat="1" x14ac:dyDescent="0.2">
      <c r="B154" s="212"/>
      <c r="C154" s="212"/>
      <c r="D154" s="212"/>
      <c r="E154" s="212"/>
      <c r="F154" s="212"/>
      <c r="G154" s="212"/>
      <c r="H154" s="212"/>
      <c r="I154" s="212"/>
      <c r="J154" s="212"/>
      <c r="K154" s="212"/>
      <c r="L154" s="212"/>
      <c r="M154" s="212"/>
      <c r="N154" s="212"/>
      <c r="O154" s="212"/>
      <c r="P154" s="212"/>
      <c r="Q154" s="212"/>
      <c r="R154" s="212"/>
    </row>
    <row r="155" spans="2:18" s="208" customFormat="1" x14ac:dyDescent="0.2">
      <c r="B155" s="212"/>
      <c r="C155" s="212"/>
      <c r="D155" s="212"/>
      <c r="E155" s="212"/>
      <c r="F155" s="212"/>
      <c r="G155" s="212"/>
      <c r="H155" s="212"/>
      <c r="I155" s="212"/>
      <c r="J155" s="212"/>
      <c r="K155" s="212"/>
      <c r="L155" s="212"/>
      <c r="M155" s="212"/>
      <c r="N155" s="212"/>
      <c r="O155" s="212"/>
      <c r="P155" s="212"/>
      <c r="Q155" s="212"/>
      <c r="R155" s="212"/>
    </row>
    <row r="156" spans="2:18" s="208" customFormat="1" x14ac:dyDescent="0.2">
      <c r="B156" s="212"/>
      <c r="C156" s="212"/>
      <c r="D156" s="212"/>
      <c r="E156" s="212"/>
      <c r="F156" s="212"/>
      <c r="G156" s="212"/>
      <c r="H156" s="212"/>
      <c r="I156" s="212"/>
      <c r="J156" s="212"/>
      <c r="K156" s="212"/>
      <c r="L156" s="212"/>
      <c r="M156" s="212"/>
      <c r="N156" s="212"/>
      <c r="O156" s="212"/>
      <c r="P156" s="212"/>
      <c r="Q156" s="212"/>
      <c r="R156" s="212"/>
    </row>
    <row r="157" spans="2:18" s="208" customFormat="1" x14ac:dyDescent="0.2">
      <c r="B157" s="212"/>
      <c r="C157" s="212"/>
      <c r="D157" s="212"/>
      <c r="E157" s="212"/>
      <c r="F157" s="212"/>
      <c r="G157" s="212"/>
      <c r="H157" s="212"/>
      <c r="I157" s="212"/>
      <c r="J157" s="212"/>
      <c r="K157" s="212"/>
      <c r="L157" s="212"/>
      <c r="M157" s="212"/>
      <c r="N157" s="212"/>
      <c r="O157" s="212"/>
      <c r="P157" s="212"/>
      <c r="Q157" s="212"/>
      <c r="R157" s="212"/>
    </row>
    <row r="158" spans="2:18" s="208" customFormat="1" x14ac:dyDescent="0.2">
      <c r="B158" s="212"/>
      <c r="C158" s="212"/>
      <c r="D158" s="212"/>
      <c r="E158" s="212"/>
      <c r="F158" s="212"/>
      <c r="G158" s="212"/>
      <c r="H158" s="212"/>
      <c r="I158" s="212"/>
      <c r="J158" s="212"/>
      <c r="K158" s="212"/>
      <c r="L158" s="212"/>
      <c r="M158" s="212"/>
      <c r="N158" s="212"/>
      <c r="O158" s="212"/>
      <c r="P158" s="212"/>
      <c r="Q158" s="212"/>
      <c r="R158" s="212"/>
    </row>
    <row r="159" spans="2:18" s="208" customFormat="1" x14ac:dyDescent="0.2">
      <c r="B159" s="212"/>
      <c r="C159" s="212"/>
      <c r="D159" s="212"/>
      <c r="E159" s="212"/>
      <c r="F159" s="212"/>
      <c r="G159" s="212"/>
      <c r="H159" s="212"/>
      <c r="I159" s="212"/>
      <c r="J159" s="212"/>
      <c r="K159" s="212"/>
      <c r="L159" s="212"/>
      <c r="M159" s="212"/>
      <c r="N159" s="212"/>
      <c r="O159" s="212"/>
      <c r="P159" s="212"/>
      <c r="Q159" s="212"/>
      <c r="R159" s="212"/>
    </row>
    <row r="160" spans="2:18" s="208" customFormat="1" x14ac:dyDescent="0.2">
      <c r="B160" s="212"/>
      <c r="C160" s="212"/>
      <c r="D160" s="212"/>
      <c r="E160" s="212"/>
      <c r="F160" s="212"/>
      <c r="G160" s="212"/>
      <c r="H160" s="212"/>
      <c r="I160" s="212"/>
      <c r="J160" s="212"/>
      <c r="K160" s="212"/>
      <c r="L160" s="212"/>
      <c r="M160" s="212"/>
      <c r="N160" s="212"/>
      <c r="O160" s="212"/>
      <c r="P160" s="212"/>
      <c r="Q160" s="212"/>
      <c r="R160" s="212"/>
    </row>
    <row r="161" spans="2:18" s="208" customFormat="1" x14ac:dyDescent="0.2">
      <c r="B161" s="212"/>
      <c r="C161" s="212"/>
      <c r="D161" s="212"/>
      <c r="E161" s="212"/>
      <c r="F161" s="212"/>
      <c r="G161" s="212"/>
      <c r="H161" s="212"/>
      <c r="I161" s="212"/>
      <c r="J161" s="212"/>
      <c r="K161" s="212"/>
      <c r="L161" s="212"/>
      <c r="M161" s="212"/>
      <c r="N161" s="212"/>
      <c r="O161" s="212"/>
      <c r="P161" s="212"/>
      <c r="Q161" s="212"/>
      <c r="R161" s="212"/>
    </row>
    <row r="162" spans="2:18" s="208" customFormat="1" x14ac:dyDescent="0.2">
      <c r="B162" s="212"/>
      <c r="C162" s="212"/>
      <c r="D162" s="212"/>
      <c r="E162" s="212"/>
      <c r="F162" s="212"/>
      <c r="G162" s="212"/>
      <c r="H162" s="212"/>
      <c r="I162" s="212"/>
      <c r="J162" s="212"/>
      <c r="K162" s="212"/>
      <c r="L162" s="212"/>
      <c r="M162" s="212"/>
      <c r="N162" s="212"/>
      <c r="O162" s="212"/>
      <c r="P162" s="212"/>
      <c r="Q162" s="212"/>
      <c r="R162" s="212"/>
    </row>
    <row r="163" spans="2:18" s="208" customFormat="1" x14ac:dyDescent="0.2">
      <c r="B163" s="212"/>
      <c r="C163" s="212"/>
      <c r="D163" s="212"/>
      <c r="E163" s="212"/>
      <c r="F163" s="212"/>
      <c r="G163" s="212"/>
      <c r="H163" s="212"/>
      <c r="I163" s="212"/>
      <c r="J163" s="212"/>
      <c r="K163" s="212"/>
      <c r="L163" s="212"/>
      <c r="M163" s="212"/>
      <c r="N163" s="212"/>
      <c r="O163" s="212"/>
      <c r="P163" s="212"/>
      <c r="Q163" s="212"/>
      <c r="R163" s="212"/>
    </row>
    <row r="164" spans="2:18" s="208" customFormat="1" x14ac:dyDescent="0.2">
      <c r="B164" s="212"/>
      <c r="C164" s="212"/>
      <c r="D164" s="212"/>
      <c r="E164" s="212"/>
      <c r="F164" s="212"/>
      <c r="G164" s="212"/>
      <c r="H164" s="212"/>
      <c r="I164" s="212"/>
      <c r="J164" s="212"/>
      <c r="K164" s="212"/>
      <c r="L164" s="212"/>
      <c r="M164" s="212"/>
      <c r="N164" s="212"/>
      <c r="O164" s="212"/>
      <c r="P164" s="212"/>
      <c r="Q164" s="212"/>
      <c r="R164" s="212"/>
    </row>
    <row r="165" spans="2:18" s="208" customFormat="1" x14ac:dyDescent="0.2">
      <c r="B165" s="212"/>
      <c r="C165" s="212"/>
      <c r="D165" s="212"/>
      <c r="E165" s="212"/>
      <c r="F165" s="212"/>
      <c r="G165" s="212"/>
      <c r="H165" s="212"/>
      <c r="I165" s="212"/>
      <c r="J165" s="212"/>
      <c r="K165" s="212"/>
      <c r="L165" s="212"/>
      <c r="M165" s="212"/>
      <c r="N165" s="212"/>
      <c r="O165" s="212"/>
      <c r="P165" s="212"/>
      <c r="Q165" s="212"/>
      <c r="R165" s="212"/>
    </row>
    <row r="166" spans="2:18" s="208" customFormat="1" x14ac:dyDescent="0.2">
      <c r="B166" s="212"/>
      <c r="C166" s="212"/>
      <c r="D166" s="212"/>
      <c r="E166" s="212"/>
      <c r="F166" s="212"/>
      <c r="G166" s="212"/>
      <c r="H166" s="212"/>
      <c r="I166" s="212"/>
      <c r="J166" s="212"/>
      <c r="K166" s="212"/>
      <c r="L166" s="212"/>
      <c r="M166" s="212"/>
      <c r="N166" s="212"/>
      <c r="O166" s="212"/>
      <c r="P166" s="212"/>
      <c r="Q166" s="212"/>
      <c r="R166" s="212"/>
    </row>
    <row r="167" spans="2:18" s="208" customFormat="1" x14ac:dyDescent="0.2">
      <c r="B167" s="212"/>
      <c r="C167" s="212"/>
      <c r="D167" s="212"/>
      <c r="E167" s="212"/>
      <c r="F167" s="212"/>
      <c r="G167" s="212"/>
      <c r="H167" s="212"/>
      <c r="I167" s="212"/>
      <c r="J167" s="212"/>
      <c r="K167" s="212"/>
      <c r="L167" s="212"/>
      <c r="M167" s="212"/>
      <c r="N167" s="212"/>
      <c r="O167" s="212"/>
      <c r="P167" s="212"/>
      <c r="Q167" s="212"/>
      <c r="R167" s="212"/>
    </row>
    <row r="168" spans="2:18" s="208" customFormat="1" x14ac:dyDescent="0.2">
      <c r="B168" s="212"/>
      <c r="C168" s="212"/>
      <c r="D168" s="212"/>
      <c r="E168" s="212"/>
      <c r="F168" s="212"/>
      <c r="G168" s="212"/>
      <c r="H168" s="212"/>
      <c r="I168" s="212"/>
      <c r="J168" s="212"/>
      <c r="K168" s="212"/>
      <c r="L168" s="212"/>
      <c r="M168" s="212"/>
      <c r="N168" s="212"/>
      <c r="O168" s="212"/>
      <c r="P168" s="212"/>
      <c r="Q168" s="212"/>
      <c r="R168" s="212"/>
    </row>
    <row r="169" spans="2:18" s="208" customFormat="1" x14ac:dyDescent="0.2">
      <c r="B169" s="212"/>
      <c r="C169" s="212"/>
      <c r="D169" s="212"/>
      <c r="E169" s="212"/>
      <c r="F169" s="212"/>
      <c r="G169" s="212"/>
      <c r="H169" s="212"/>
      <c r="I169" s="212"/>
      <c r="J169" s="212"/>
      <c r="K169" s="212"/>
      <c r="L169" s="212"/>
      <c r="M169" s="212"/>
      <c r="N169" s="212"/>
      <c r="O169" s="212"/>
      <c r="P169" s="212"/>
      <c r="Q169" s="212"/>
      <c r="R169" s="212"/>
    </row>
    <row r="170" spans="2:18" s="208" customFormat="1" x14ac:dyDescent="0.2">
      <c r="B170" s="212"/>
      <c r="C170" s="212"/>
      <c r="D170" s="212"/>
      <c r="E170" s="212"/>
      <c r="F170" s="212"/>
      <c r="G170" s="212"/>
      <c r="H170" s="212"/>
      <c r="I170" s="212"/>
      <c r="J170" s="212"/>
      <c r="K170" s="212"/>
      <c r="L170" s="212"/>
      <c r="M170" s="212"/>
      <c r="N170" s="212"/>
      <c r="O170" s="212"/>
      <c r="P170" s="212"/>
      <c r="Q170" s="212"/>
      <c r="R170" s="212"/>
    </row>
    <row r="171" spans="2:18" s="208" customFormat="1" x14ac:dyDescent="0.2">
      <c r="B171" s="212"/>
      <c r="C171" s="212"/>
      <c r="D171" s="212"/>
      <c r="E171" s="212"/>
      <c r="F171" s="212"/>
      <c r="G171" s="212"/>
      <c r="H171" s="212"/>
      <c r="I171" s="212"/>
      <c r="J171" s="212"/>
      <c r="K171" s="212"/>
      <c r="L171" s="212"/>
      <c r="M171" s="212"/>
      <c r="N171" s="212"/>
      <c r="O171" s="212"/>
      <c r="P171" s="212"/>
      <c r="Q171" s="212"/>
      <c r="R171" s="212"/>
    </row>
    <row r="172" spans="2:18" s="208" customFormat="1" x14ac:dyDescent="0.2">
      <c r="B172" s="212"/>
      <c r="C172" s="212"/>
      <c r="D172" s="212"/>
      <c r="E172" s="212"/>
      <c r="F172" s="212"/>
      <c r="G172" s="212"/>
      <c r="H172" s="212"/>
      <c r="I172" s="212"/>
      <c r="J172" s="212"/>
      <c r="K172" s="212"/>
      <c r="L172" s="212"/>
      <c r="M172" s="212"/>
      <c r="N172" s="212"/>
      <c r="O172" s="212"/>
      <c r="P172" s="212"/>
      <c r="Q172" s="212"/>
      <c r="R172" s="212"/>
    </row>
    <row r="173" spans="2:18" s="208" customFormat="1" x14ac:dyDescent="0.2">
      <c r="B173" s="212"/>
      <c r="C173" s="212"/>
      <c r="D173" s="212"/>
      <c r="E173" s="212"/>
      <c r="F173" s="212"/>
      <c r="G173" s="212"/>
      <c r="H173" s="212"/>
      <c r="I173" s="212"/>
      <c r="J173" s="212"/>
      <c r="K173" s="212"/>
      <c r="L173" s="212"/>
      <c r="M173" s="212"/>
      <c r="N173" s="212"/>
      <c r="O173" s="212"/>
      <c r="P173" s="212"/>
      <c r="Q173" s="212"/>
      <c r="R173" s="212"/>
    </row>
    <row r="174" spans="2:18" s="208" customFormat="1" x14ac:dyDescent="0.2">
      <c r="B174" s="212"/>
      <c r="C174" s="212"/>
      <c r="D174" s="212"/>
      <c r="E174" s="212"/>
      <c r="F174" s="212"/>
      <c r="G174" s="212"/>
      <c r="H174" s="212"/>
      <c r="I174" s="212"/>
      <c r="J174" s="212"/>
      <c r="K174" s="212"/>
      <c r="L174" s="212"/>
      <c r="M174" s="212"/>
      <c r="N174" s="212"/>
      <c r="O174" s="212"/>
      <c r="P174" s="212"/>
      <c r="Q174" s="212"/>
      <c r="R174" s="212"/>
    </row>
    <row r="175" spans="2:18" s="208" customFormat="1" x14ac:dyDescent="0.2">
      <c r="B175" s="212"/>
      <c r="C175" s="212"/>
      <c r="D175" s="212"/>
      <c r="E175" s="212"/>
      <c r="F175" s="212"/>
      <c r="G175" s="212"/>
      <c r="H175" s="212"/>
      <c r="I175" s="212"/>
      <c r="J175" s="212"/>
      <c r="K175" s="212"/>
      <c r="L175" s="212"/>
      <c r="M175" s="212"/>
      <c r="N175" s="212"/>
      <c r="O175" s="212"/>
      <c r="P175" s="212"/>
      <c r="Q175" s="212"/>
      <c r="R175" s="212"/>
    </row>
    <row r="176" spans="2:18" s="208" customFormat="1" x14ac:dyDescent="0.2">
      <c r="B176" s="212"/>
      <c r="C176" s="212"/>
      <c r="D176" s="212"/>
      <c r="E176" s="212"/>
      <c r="F176" s="212"/>
      <c r="G176" s="212"/>
      <c r="H176" s="212"/>
      <c r="I176" s="212"/>
      <c r="J176" s="212"/>
      <c r="K176" s="212"/>
      <c r="L176" s="212"/>
      <c r="M176" s="212"/>
      <c r="N176" s="212"/>
      <c r="O176" s="212"/>
      <c r="P176" s="212"/>
      <c r="Q176" s="212"/>
      <c r="R176" s="212"/>
    </row>
    <row r="177" spans="2:18" s="208" customFormat="1" x14ac:dyDescent="0.2">
      <c r="B177" s="212"/>
      <c r="C177" s="212"/>
      <c r="D177" s="212"/>
      <c r="E177" s="212"/>
      <c r="F177" s="212"/>
      <c r="G177" s="212"/>
      <c r="H177" s="212"/>
      <c r="I177" s="212"/>
      <c r="J177" s="212"/>
      <c r="K177" s="212"/>
      <c r="L177" s="212"/>
      <c r="M177" s="212"/>
      <c r="N177" s="212"/>
      <c r="O177" s="212"/>
      <c r="P177" s="212"/>
      <c r="Q177" s="212"/>
      <c r="R177" s="212"/>
    </row>
    <row r="178" spans="2:18" s="208" customFormat="1" x14ac:dyDescent="0.2">
      <c r="B178" s="212"/>
      <c r="C178" s="212"/>
      <c r="D178" s="212"/>
      <c r="E178" s="212"/>
      <c r="F178" s="212"/>
      <c r="G178" s="212"/>
      <c r="H178" s="212"/>
      <c r="I178" s="212"/>
      <c r="J178" s="212"/>
      <c r="K178" s="212"/>
      <c r="L178" s="212"/>
      <c r="M178" s="212"/>
      <c r="N178" s="212"/>
      <c r="O178" s="212"/>
      <c r="P178" s="212"/>
      <c r="Q178" s="212"/>
      <c r="R178" s="212"/>
    </row>
    <row r="179" spans="2:18" s="208" customFormat="1" x14ac:dyDescent="0.2">
      <c r="B179" s="212"/>
      <c r="C179" s="212"/>
      <c r="D179" s="212"/>
      <c r="E179" s="212"/>
      <c r="F179" s="212"/>
      <c r="G179" s="212"/>
      <c r="H179" s="212"/>
      <c r="I179" s="212"/>
      <c r="J179" s="212"/>
      <c r="K179" s="212"/>
      <c r="L179" s="212"/>
      <c r="M179" s="212"/>
      <c r="N179" s="212"/>
      <c r="O179" s="212"/>
      <c r="P179" s="212"/>
      <c r="Q179" s="212"/>
      <c r="R179" s="212"/>
    </row>
    <row r="180" spans="2:18" s="208" customFormat="1" x14ac:dyDescent="0.2">
      <c r="B180" s="212"/>
      <c r="C180" s="212"/>
      <c r="D180" s="212"/>
      <c r="E180" s="212"/>
      <c r="F180" s="212"/>
      <c r="G180" s="212"/>
      <c r="H180" s="212"/>
      <c r="I180" s="212"/>
      <c r="J180" s="212"/>
      <c r="K180" s="212"/>
      <c r="L180" s="212"/>
      <c r="M180" s="212"/>
      <c r="N180" s="212"/>
      <c r="O180" s="212"/>
      <c r="P180" s="212"/>
      <c r="Q180" s="212"/>
      <c r="R180" s="212"/>
    </row>
    <row r="181" spans="2:18" s="208" customFormat="1" x14ac:dyDescent="0.2">
      <c r="B181" s="212"/>
      <c r="C181" s="212"/>
      <c r="D181" s="212"/>
      <c r="E181" s="212"/>
      <c r="F181" s="212"/>
      <c r="G181" s="212"/>
      <c r="H181" s="212"/>
      <c r="I181" s="212"/>
      <c r="J181" s="212"/>
      <c r="K181" s="212"/>
      <c r="L181" s="212"/>
      <c r="M181" s="212"/>
      <c r="N181" s="212"/>
      <c r="O181" s="212"/>
      <c r="P181" s="212"/>
      <c r="Q181" s="212"/>
      <c r="R181" s="212"/>
    </row>
    <row r="182" spans="2:18" s="208" customFormat="1" x14ac:dyDescent="0.2">
      <c r="B182" s="212"/>
      <c r="C182" s="212"/>
      <c r="D182" s="212"/>
      <c r="E182" s="212"/>
      <c r="F182" s="212"/>
      <c r="G182" s="212"/>
      <c r="H182" s="212"/>
      <c r="I182" s="212"/>
      <c r="J182" s="212"/>
      <c r="K182" s="212"/>
      <c r="L182" s="212"/>
      <c r="M182" s="212"/>
      <c r="N182" s="212"/>
      <c r="O182" s="212"/>
      <c r="P182" s="212"/>
      <c r="Q182" s="212"/>
      <c r="R182" s="212"/>
    </row>
    <row r="183" spans="2:18" s="208" customFormat="1" x14ac:dyDescent="0.2">
      <c r="B183" s="212"/>
      <c r="C183" s="212"/>
      <c r="D183" s="212"/>
      <c r="E183" s="212"/>
      <c r="F183" s="212"/>
      <c r="G183" s="212"/>
      <c r="H183" s="212"/>
      <c r="I183" s="212"/>
      <c r="J183" s="212"/>
      <c r="K183" s="212"/>
      <c r="L183" s="212"/>
      <c r="M183" s="212"/>
      <c r="N183" s="212"/>
      <c r="O183" s="212"/>
      <c r="P183" s="212"/>
      <c r="Q183" s="212"/>
      <c r="R183" s="212"/>
    </row>
    <row r="184" spans="2:18" s="208" customFormat="1" x14ac:dyDescent="0.2">
      <c r="B184" s="212"/>
      <c r="C184" s="212"/>
      <c r="D184" s="212"/>
      <c r="E184" s="212"/>
      <c r="F184" s="212"/>
      <c r="G184" s="212"/>
      <c r="H184" s="212"/>
      <c r="I184" s="212"/>
      <c r="J184" s="212"/>
      <c r="K184" s="212"/>
      <c r="L184" s="212"/>
      <c r="M184" s="212"/>
      <c r="N184" s="212"/>
      <c r="O184" s="212"/>
      <c r="P184" s="212"/>
      <c r="Q184" s="212"/>
      <c r="R184" s="212"/>
    </row>
    <row r="185" spans="2:18" s="208" customFormat="1" x14ac:dyDescent="0.2">
      <c r="B185" s="212"/>
      <c r="C185" s="212"/>
      <c r="D185" s="212"/>
      <c r="E185" s="212"/>
      <c r="F185" s="212"/>
      <c r="G185" s="212"/>
      <c r="H185" s="212"/>
      <c r="I185" s="212"/>
      <c r="J185" s="212"/>
      <c r="K185" s="212"/>
      <c r="L185" s="212"/>
      <c r="M185" s="212"/>
      <c r="N185" s="212"/>
      <c r="O185" s="212"/>
      <c r="P185" s="212"/>
      <c r="Q185" s="212"/>
      <c r="R185" s="212"/>
    </row>
    <row r="186" spans="2:18" s="208" customFormat="1" x14ac:dyDescent="0.2">
      <c r="B186" s="212"/>
      <c r="C186" s="212"/>
      <c r="D186" s="212"/>
      <c r="E186" s="212"/>
      <c r="F186" s="212"/>
      <c r="G186" s="212"/>
      <c r="H186" s="212"/>
      <c r="I186" s="212"/>
      <c r="J186" s="212"/>
      <c r="K186" s="212"/>
      <c r="L186" s="212"/>
      <c r="M186" s="212"/>
      <c r="N186" s="212"/>
      <c r="O186" s="212"/>
      <c r="P186" s="212"/>
      <c r="Q186" s="212"/>
      <c r="R186" s="212"/>
    </row>
    <row r="187" spans="2:18" s="208" customFormat="1" x14ac:dyDescent="0.2">
      <c r="B187" s="212"/>
      <c r="C187" s="212"/>
      <c r="D187" s="212"/>
      <c r="E187" s="212"/>
      <c r="F187" s="212"/>
      <c r="G187" s="212"/>
      <c r="H187" s="212"/>
      <c r="I187" s="212"/>
      <c r="J187" s="212"/>
      <c r="K187" s="212"/>
      <c r="L187" s="212"/>
      <c r="M187" s="212"/>
      <c r="N187" s="212"/>
      <c r="O187" s="212"/>
      <c r="P187" s="212"/>
      <c r="Q187" s="212"/>
      <c r="R187" s="212"/>
    </row>
    <row r="188" spans="2:18" s="208" customFormat="1" x14ac:dyDescent="0.2">
      <c r="B188" s="212"/>
      <c r="C188" s="212"/>
      <c r="D188" s="212"/>
      <c r="E188" s="212"/>
      <c r="F188" s="212"/>
      <c r="G188" s="212"/>
      <c r="H188" s="212"/>
      <c r="I188" s="212"/>
      <c r="J188" s="212"/>
      <c r="K188" s="212"/>
      <c r="L188" s="212"/>
      <c r="M188" s="212"/>
      <c r="N188" s="212"/>
      <c r="O188" s="212"/>
      <c r="P188" s="212"/>
      <c r="Q188" s="212"/>
      <c r="R188" s="212"/>
    </row>
    <row r="189" spans="2:18" s="208" customFormat="1" x14ac:dyDescent="0.2">
      <c r="B189" s="212"/>
      <c r="C189" s="212"/>
      <c r="D189" s="212"/>
      <c r="E189" s="212"/>
      <c r="F189" s="212"/>
      <c r="G189" s="212"/>
      <c r="H189" s="212"/>
      <c r="I189" s="212"/>
      <c r="J189" s="212"/>
      <c r="K189" s="212"/>
      <c r="L189" s="212"/>
      <c r="M189" s="212"/>
      <c r="N189" s="212"/>
      <c r="O189" s="212"/>
      <c r="P189" s="212"/>
      <c r="Q189" s="212"/>
      <c r="R189" s="212"/>
    </row>
    <row r="190" spans="2:18" s="208" customFormat="1" x14ac:dyDescent="0.2">
      <c r="B190" s="212"/>
      <c r="C190" s="212"/>
      <c r="D190" s="212"/>
      <c r="E190" s="212"/>
      <c r="F190" s="212"/>
      <c r="G190" s="212"/>
      <c r="H190" s="212"/>
      <c r="I190" s="212"/>
      <c r="J190" s="212"/>
      <c r="K190" s="212"/>
      <c r="L190" s="212"/>
      <c r="M190" s="212"/>
      <c r="N190" s="212"/>
      <c r="O190" s="212"/>
      <c r="P190" s="212"/>
      <c r="Q190" s="212"/>
      <c r="R190" s="212"/>
    </row>
    <row r="191" spans="2:18" s="208" customFormat="1" x14ac:dyDescent="0.2">
      <c r="B191" s="212"/>
      <c r="C191" s="212"/>
      <c r="D191" s="212"/>
      <c r="E191" s="212"/>
      <c r="F191" s="212"/>
      <c r="G191" s="212"/>
      <c r="H191" s="212"/>
      <c r="I191" s="212"/>
      <c r="J191" s="212"/>
      <c r="K191" s="212"/>
      <c r="L191" s="212"/>
      <c r="M191" s="212"/>
      <c r="N191" s="212"/>
      <c r="O191" s="212"/>
      <c r="P191" s="212"/>
      <c r="Q191" s="212"/>
      <c r="R191" s="212"/>
    </row>
    <row r="192" spans="2:18" s="208" customFormat="1" x14ac:dyDescent="0.2">
      <c r="B192" s="212"/>
      <c r="C192" s="212"/>
      <c r="D192" s="212"/>
      <c r="E192" s="212"/>
      <c r="F192" s="212"/>
      <c r="G192" s="212"/>
      <c r="H192" s="212"/>
      <c r="I192" s="212"/>
      <c r="J192" s="212"/>
      <c r="K192" s="212"/>
      <c r="L192" s="212"/>
      <c r="M192" s="212"/>
      <c r="N192" s="212"/>
      <c r="O192" s="212"/>
      <c r="P192" s="212"/>
      <c r="Q192" s="212"/>
      <c r="R192" s="212"/>
    </row>
    <row r="193" spans="2:18" s="208" customFormat="1" x14ac:dyDescent="0.2">
      <c r="B193" s="212"/>
      <c r="C193" s="212"/>
      <c r="D193" s="212"/>
      <c r="E193" s="212"/>
      <c r="F193" s="212"/>
      <c r="G193" s="212"/>
      <c r="H193" s="212"/>
      <c r="I193" s="212"/>
      <c r="J193" s="212"/>
      <c r="K193" s="212"/>
      <c r="L193" s="212"/>
      <c r="M193" s="212"/>
      <c r="N193" s="212"/>
      <c r="O193" s="212"/>
      <c r="P193" s="212"/>
      <c r="Q193" s="212"/>
      <c r="R193" s="212"/>
    </row>
    <row r="194" spans="2:18" s="208" customFormat="1" x14ac:dyDescent="0.2">
      <c r="B194" s="212"/>
      <c r="C194" s="212"/>
      <c r="D194" s="212"/>
      <c r="E194" s="212"/>
      <c r="F194" s="212"/>
      <c r="G194" s="212"/>
      <c r="H194" s="212"/>
      <c r="I194" s="212"/>
      <c r="J194" s="212"/>
      <c r="K194" s="212"/>
      <c r="L194" s="212"/>
      <c r="M194" s="212"/>
      <c r="N194" s="212"/>
      <c r="O194" s="212"/>
      <c r="P194" s="212"/>
      <c r="Q194" s="212"/>
      <c r="R194" s="212"/>
    </row>
    <row r="195" spans="2:18" s="208" customFormat="1" x14ac:dyDescent="0.2">
      <c r="B195" s="212"/>
      <c r="C195" s="212"/>
      <c r="D195" s="212"/>
      <c r="E195" s="212"/>
      <c r="F195" s="212"/>
      <c r="G195" s="212"/>
      <c r="H195" s="212"/>
      <c r="I195" s="212"/>
      <c r="J195" s="212"/>
      <c r="K195" s="212"/>
      <c r="L195" s="212"/>
      <c r="M195" s="212"/>
      <c r="N195" s="212"/>
      <c r="O195" s="212"/>
      <c r="P195" s="212"/>
      <c r="Q195" s="212"/>
      <c r="R195" s="212"/>
    </row>
    <row r="196" spans="2:18" s="208" customFormat="1" x14ac:dyDescent="0.2">
      <c r="B196" s="212"/>
      <c r="C196" s="212"/>
      <c r="D196" s="212"/>
      <c r="E196" s="212"/>
      <c r="F196" s="212"/>
      <c r="G196" s="212"/>
      <c r="H196" s="212"/>
      <c r="I196" s="212"/>
      <c r="J196" s="212"/>
      <c r="K196" s="212"/>
      <c r="L196" s="212"/>
      <c r="M196" s="212"/>
      <c r="N196" s="212"/>
      <c r="O196" s="212"/>
      <c r="P196" s="212"/>
      <c r="Q196" s="212"/>
      <c r="R196" s="212"/>
    </row>
    <row r="197" spans="2:18" s="208" customFormat="1" x14ac:dyDescent="0.2">
      <c r="B197" s="212"/>
      <c r="C197" s="212"/>
      <c r="D197" s="212"/>
      <c r="E197" s="212"/>
      <c r="F197" s="212"/>
      <c r="G197" s="212"/>
      <c r="H197" s="212"/>
      <c r="I197" s="212"/>
      <c r="J197" s="212"/>
      <c r="K197" s="212"/>
      <c r="L197" s="212"/>
      <c r="M197" s="212"/>
      <c r="N197" s="212"/>
      <c r="O197" s="212"/>
      <c r="P197" s="212"/>
      <c r="Q197" s="212"/>
      <c r="R197" s="212"/>
    </row>
    <row r="198" spans="2:18" s="208" customFormat="1" x14ac:dyDescent="0.2">
      <c r="B198" s="212"/>
      <c r="C198" s="212"/>
      <c r="D198" s="212"/>
      <c r="E198" s="212"/>
      <c r="F198" s="212"/>
      <c r="G198" s="212"/>
      <c r="H198" s="212"/>
      <c r="I198" s="212"/>
      <c r="J198" s="212"/>
      <c r="K198" s="212"/>
      <c r="L198" s="212"/>
      <c r="M198" s="212"/>
      <c r="N198" s="212"/>
      <c r="O198" s="212"/>
      <c r="P198" s="212"/>
      <c r="Q198" s="212"/>
      <c r="R198" s="212"/>
    </row>
    <row r="199" spans="2:18" s="208" customFormat="1" x14ac:dyDescent="0.2">
      <c r="B199" s="212"/>
      <c r="C199" s="212"/>
      <c r="D199" s="212"/>
      <c r="E199" s="212"/>
      <c r="F199" s="212"/>
      <c r="G199" s="212"/>
      <c r="H199" s="212"/>
      <c r="I199" s="212"/>
      <c r="J199" s="212"/>
      <c r="K199" s="212"/>
      <c r="L199" s="212"/>
      <c r="M199" s="212"/>
      <c r="N199" s="212"/>
      <c r="O199" s="212"/>
      <c r="P199" s="212"/>
      <c r="Q199" s="212"/>
      <c r="R199" s="212"/>
    </row>
    <row r="200" spans="2:18" s="208" customFormat="1" x14ac:dyDescent="0.2">
      <c r="B200" s="212"/>
      <c r="C200" s="212"/>
      <c r="D200" s="212"/>
      <c r="E200" s="212"/>
      <c r="F200" s="212"/>
      <c r="G200" s="212"/>
      <c r="H200" s="212"/>
      <c r="I200" s="212"/>
      <c r="J200" s="212"/>
      <c r="K200" s="212"/>
      <c r="L200" s="212"/>
      <c r="M200" s="212"/>
      <c r="N200" s="212"/>
      <c r="O200" s="212"/>
      <c r="P200" s="212"/>
      <c r="Q200" s="212"/>
      <c r="R200" s="212"/>
    </row>
    <row r="201" spans="2:18" s="208" customFormat="1" x14ac:dyDescent="0.2">
      <c r="B201" s="212"/>
      <c r="C201" s="212"/>
      <c r="D201" s="212"/>
      <c r="E201" s="212"/>
      <c r="F201" s="212"/>
      <c r="G201" s="212"/>
      <c r="H201" s="212"/>
      <c r="I201" s="212"/>
      <c r="J201" s="212"/>
      <c r="K201" s="212"/>
      <c r="L201" s="212"/>
      <c r="M201" s="212"/>
      <c r="N201" s="212"/>
      <c r="O201" s="212"/>
      <c r="P201" s="212"/>
      <c r="Q201" s="212"/>
      <c r="R201" s="212"/>
    </row>
    <row r="202" spans="2:18" s="208" customFormat="1" x14ac:dyDescent="0.2">
      <c r="B202" s="212"/>
      <c r="C202" s="212"/>
      <c r="D202" s="212"/>
      <c r="E202" s="212"/>
      <c r="F202" s="212"/>
      <c r="G202" s="212"/>
      <c r="H202" s="212"/>
      <c r="I202" s="212"/>
      <c r="J202" s="212"/>
      <c r="K202" s="212"/>
      <c r="L202" s="212"/>
      <c r="M202" s="212"/>
      <c r="N202" s="212"/>
      <c r="O202" s="212"/>
      <c r="P202" s="212"/>
      <c r="Q202" s="212"/>
      <c r="R202" s="212"/>
    </row>
    <row r="203" spans="2:18" s="208" customFormat="1" x14ac:dyDescent="0.2">
      <c r="B203" s="212"/>
      <c r="C203" s="212"/>
      <c r="D203" s="212"/>
      <c r="E203" s="212"/>
      <c r="F203" s="212"/>
      <c r="G203" s="212"/>
      <c r="H203" s="212"/>
      <c r="I203" s="212"/>
      <c r="J203" s="212"/>
      <c r="K203" s="212"/>
      <c r="L203" s="212"/>
      <c r="M203" s="212"/>
      <c r="N203" s="212"/>
      <c r="O203" s="212"/>
      <c r="P203" s="212"/>
      <c r="Q203" s="212"/>
      <c r="R203" s="212"/>
    </row>
    <row r="204" spans="2:18" s="208" customFormat="1" x14ac:dyDescent="0.2">
      <c r="B204" s="212"/>
      <c r="C204" s="212"/>
      <c r="D204" s="212"/>
      <c r="E204" s="212"/>
      <c r="F204" s="212"/>
      <c r="G204" s="212"/>
      <c r="H204" s="212"/>
      <c r="I204" s="212"/>
      <c r="J204" s="212"/>
      <c r="K204" s="212"/>
      <c r="L204" s="212"/>
      <c r="M204" s="212"/>
      <c r="N204" s="212"/>
      <c r="O204" s="212"/>
      <c r="P204" s="212"/>
      <c r="Q204" s="212"/>
      <c r="R204" s="212"/>
    </row>
    <row r="205" spans="2:18" s="208" customFormat="1" x14ac:dyDescent="0.2">
      <c r="B205" s="212"/>
      <c r="C205" s="212"/>
      <c r="D205" s="212"/>
      <c r="E205" s="212"/>
      <c r="F205" s="212"/>
      <c r="G205" s="212"/>
      <c r="H205" s="212"/>
      <c r="I205" s="212"/>
      <c r="J205" s="212"/>
      <c r="K205" s="212"/>
      <c r="L205" s="212"/>
      <c r="M205" s="212"/>
      <c r="N205" s="212"/>
      <c r="O205" s="212"/>
      <c r="P205" s="212"/>
      <c r="Q205" s="212"/>
      <c r="R205" s="212"/>
    </row>
    <row r="206" spans="2:18" s="208" customFormat="1" x14ac:dyDescent="0.2">
      <c r="B206" s="212"/>
      <c r="C206" s="212"/>
      <c r="D206" s="212"/>
      <c r="E206" s="212"/>
      <c r="F206" s="212"/>
      <c r="G206" s="212"/>
      <c r="H206" s="212"/>
      <c r="I206" s="212"/>
      <c r="J206" s="212"/>
      <c r="K206" s="212"/>
      <c r="L206" s="212"/>
      <c r="M206" s="212"/>
      <c r="N206" s="212"/>
      <c r="O206" s="212"/>
      <c r="P206" s="212"/>
      <c r="Q206" s="212"/>
      <c r="R206" s="212"/>
    </row>
    <row r="207" spans="2:18" s="208" customFormat="1" x14ac:dyDescent="0.2">
      <c r="B207" s="212"/>
      <c r="C207" s="212"/>
      <c r="D207" s="212"/>
      <c r="E207" s="212"/>
      <c r="F207" s="212"/>
      <c r="G207" s="212"/>
      <c r="H207" s="212"/>
      <c r="I207" s="212"/>
      <c r="J207" s="212"/>
      <c r="K207" s="212"/>
      <c r="L207" s="212"/>
      <c r="M207" s="212"/>
      <c r="N207" s="212"/>
      <c r="O207" s="212"/>
      <c r="P207" s="212"/>
      <c r="Q207" s="212"/>
      <c r="R207" s="212"/>
    </row>
    <row r="208" spans="2:18" s="208" customFormat="1" x14ac:dyDescent="0.2">
      <c r="B208" s="212"/>
      <c r="C208" s="212"/>
      <c r="D208" s="212"/>
      <c r="E208" s="212"/>
      <c r="F208" s="212"/>
      <c r="G208" s="212"/>
      <c r="H208" s="212"/>
      <c r="I208" s="212"/>
      <c r="J208" s="212"/>
      <c r="K208" s="212"/>
      <c r="L208" s="212"/>
      <c r="M208" s="212"/>
      <c r="N208" s="212"/>
      <c r="O208" s="212"/>
      <c r="P208" s="212"/>
      <c r="Q208" s="212"/>
      <c r="R208" s="212"/>
    </row>
    <row r="209" spans="2:18" s="208" customFormat="1" x14ac:dyDescent="0.2">
      <c r="B209" s="212"/>
      <c r="C209" s="212"/>
      <c r="D209" s="212"/>
      <c r="E209" s="212"/>
      <c r="F209" s="212"/>
      <c r="G209" s="212"/>
      <c r="H209" s="212"/>
      <c r="I209" s="212"/>
      <c r="J209" s="212"/>
      <c r="K209" s="212"/>
      <c r="L209" s="212"/>
      <c r="M209" s="212"/>
      <c r="N209" s="212"/>
      <c r="O209" s="212"/>
      <c r="P209" s="212"/>
      <c r="Q209" s="212"/>
      <c r="R209" s="212"/>
    </row>
    <row r="210" spans="2:18" s="208" customFormat="1" x14ac:dyDescent="0.2">
      <c r="B210" s="212"/>
      <c r="C210" s="212"/>
      <c r="D210" s="212"/>
      <c r="E210" s="212"/>
      <c r="F210" s="212"/>
      <c r="G210" s="212"/>
      <c r="H210" s="212"/>
      <c r="I210" s="212"/>
      <c r="J210" s="212"/>
      <c r="K210" s="212"/>
      <c r="L210" s="212"/>
      <c r="M210" s="212"/>
      <c r="N210" s="212"/>
      <c r="O210" s="212"/>
      <c r="P210" s="212"/>
      <c r="Q210" s="212"/>
      <c r="R210" s="212"/>
    </row>
    <row r="211" spans="2:18" s="208" customFormat="1" x14ac:dyDescent="0.2">
      <c r="B211" s="212"/>
      <c r="C211" s="212"/>
      <c r="D211" s="212"/>
      <c r="E211" s="212"/>
      <c r="F211" s="212"/>
      <c r="G211" s="212"/>
      <c r="H211" s="212"/>
      <c r="I211" s="212"/>
      <c r="J211" s="212"/>
      <c r="K211" s="212"/>
      <c r="L211" s="212"/>
      <c r="M211" s="212"/>
      <c r="N211" s="212"/>
      <c r="O211" s="212"/>
      <c r="P211" s="212"/>
      <c r="Q211" s="212"/>
      <c r="R211" s="212"/>
    </row>
    <row r="212" spans="2:18" s="208" customFormat="1" x14ac:dyDescent="0.2">
      <c r="B212" s="212"/>
      <c r="C212" s="212"/>
      <c r="D212" s="212"/>
      <c r="E212" s="212"/>
      <c r="F212" s="212"/>
      <c r="G212" s="212"/>
      <c r="H212" s="212"/>
      <c r="I212" s="212"/>
      <c r="J212" s="212"/>
      <c r="K212" s="212"/>
      <c r="L212" s="212"/>
      <c r="M212" s="212"/>
      <c r="N212" s="212"/>
      <c r="O212" s="212"/>
      <c r="P212" s="212"/>
      <c r="Q212" s="212"/>
      <c r="R212" s="212"/>
    </row>
    <row r="213" spans="2:18" s="208" customFormat="1" x14ac:dyDescent="0.2">
      <c r="B213" s="212"/>
      <c r="C213" s="212"/>
      <c r="D213" s="212"/>
      <c r="E213" s="212"/>
      <c r="F213" s="212"/>
      <c r="G213" s="212"/>
      <c r="H213" s="212"/>
      <c r="I213" s="212"/>
      <c r="J213" s="212"/>
      <c r="K213" s="212"/>
      <c r="L213" s="212"/>
      <c r="M213" s="212"/>
      <c r="N213" s="212"/>
      <c r="O213" s="212"/>
      <c r="P213" s="212"/>
      <c r="Q213" s="212"/>
      <c r="R213" s="212"/>
    </row>
    <row r="214" spans="2:18" s="208" customFormat="1" x14ac:dyDescent="0.2">
      <c r="B214" s="212"/>
      <c r="C214" s="212"/>
      <c r="D214" s="212"/>
      <c r="E214" s="212"/>
      <c r="F214" s="212"/>
      <c r="G214" s="212"/>
      <c r="H214" s="212"/>
      <c r="I214" s="212"/>
      <c r="J214" s="212"/>
      <c r="K214" s="212"/>
      <c r="L214" s="212"/>
      <c r="M214" s="212"/>
      <c r="N214" s="212"/>
      <c r="O214" s="212"/>
      <c r="P214" s="212"/>
      <c r="Q214" s="212"/>
      <c r="R214" s="212"/>
    </row>
    <row r="215" spans="2:18" s="208" customFormat="1" x14ac:dyDescent="0.2">
      <c r="B215" s="212"/>
      <c r="C215" s="212"/>
      <c r="D215" s="212"/>
      <c r="E215" s="212"/>
      <c r="F215" s="212"/>
      <c r="G215" s="212"/>
      <c r="H215" s="212"/>
      <c r="I215" s="212"/>
      <c r="J215" s="212"/>
      <c r="K215" s="212"/>
      <c r="L215" s="212"/>
      <c r="M215" s="212"/>
      <c r="N215" s="212"/>
      <c r="O215" s="212"/>
      <c r="P215" s="212"/>
      <c r="Q215" s="212"/>
      <c r="R215" s="212"/>
    </row>
    <row r="216" spans="2:18" s="208" customFormat="1" x14ac:dyDescent="0.2">
      <c r="B216" s="212"/>
      <c r="C216" s="212"/>
      <c r="D216" s="212"/>
      <c r="E216" s="212"/>
      <c r="F216" s="212"/>
      <c r="G216" s="212"/>
      <c r="H216" s="212"/>
      <c r="I216" s="212"/>
      <c r="J216" s="212"/>
      <c r="K216" s="212"/>
      <c r="L216" s="212"/>
      <c r="M216" s="212"/>
      <c r="N216" s="212"/>
      <c r="O216" s="212"/>
      <c r="P216" s="212"/>
      <c r="Q216" s="212"/>
      <c r="R216" s="212"/>
    </row>
    <row r="217" spans="2:18" s="208" customFormat="1" x14ac:dyDescent="0.2">
      <c r="B217" s="212"/>
      <c r="C217" s="212"/>
      <c r="D217" s="212"/>
      <c r="E217" s="212"/>
      <c r="F217" s="212"/>
      <c r="G217" s="212"/>
      <c r="H217" s="212"/>
      <c r="I217" s="212"/>
      <c r="J217" s="212"/>
      <c r="K217" s="212"/>
      <c r="L217" s="212"/>
      <c r="M217" s="212"/>
      <c r="N217" s="212"/>
      <c r="O217" s="212"/>
      <c r="P217" s="212"/>
      <c r="Q217" s="212"/>
      <c r="R217" s="212"/>
    </row>
    <row r="218" spans="2:18" s="208" customFormat="1" x14ac:dyDescent="0.2">
      <c r="B218" s="212"/>
      <c r="C218" s="212"/>
      <c r="D218" s="212"/>
      <c r="E218" s="212"/>
      <c r="F218" s="212"/>
      <c r="G218" s="212"/>
      <c r="H218" s="212"/>
      <c r="I218" s="212"/>
      <c r="J218" s="212"/>
      <c r="K218" s="212"/>
      <c r="L218" s="212"/>
      <c r="M218" s="212"/>
      <c r="N218" s="212"/>
      <c r="O218" s="212"/>
      <c r="P218" s="212"/>
      <c r="Q218" s="212"/>
      <c r="R218" s="212"/>
    </row>
    <row r="219" spans="2:18" s="208" customFormat="1" x14ac:dyDescent="0.2">
      <c r="B219" s="212"/>
      <c r="C219" s="212"/>
      <c r="D219" s="212"/>
      <c r="E219" s="212"/>
      <c r="F219" s="212"/>
      <c r="G219" s="212"/>
      <c r="H219" s="212"/>
      <c r="I219" s="212"/>
      <c r="J219" s="212"/>
      <c r="K219" s="212"/>
      <c r="L219" s="212"/>
      <c r="M219" s="212"/>
      <c r="N219" s="212"/>
      <c r="O219" s="212"/>
      <c r="P219" s="212"/>
      <c r="Q219" s="212"/>
      <c r="R219" s="212"/>
    </row>
    <row r="220" spans="2:18" s="208" customFormat="1" x14ac:dyDescent="0.2">
      <c r="B220" s="212"/>
      <c r="C220" s="212"/>
      <c r="D220" s="212"/>
      <c r="E220" s="212"/>
      <c r="F220" s="212"/>
      <c r="G220" s="212"/>
      <c r="H220" s="212"/>
      <c r="I220" s="212"/>
      <c r="J220" s="212"/>
      <c r="K220" s="212"/>
      <c r="L220" s="212"/>
      <c r="M220" s="212"/>
      <c r="N220" s="212"/>
      <c r="O220" s="212"/>
      <c r="P220" s="212"/>
      <c r="Q220" s="212"/>
      <c r="R220" s="212"/>
    </row>
    <row r="221" spans="2:18" s="208" customFormat="1" x14ac:dyDescent="0.2">
      <c r="B221" s="212"/>
      <c r="C221" s="212"/>
      <c r="D221" s="212"/>
      <c r="E221" s="212"/>
      <c r="F221" s="212"/>
      <c r="G221" s="212"/>
      <c r="H221" s="212"/>
      <c r="I221" s="212"/>
      <c r="J221" s="212"/>
      <c r="K221" s="212"/>
      <c r="L221" s="212"/>
      <c r="M221" s="212"/>
      <c r="N221" s="212"/>
      <c r="O221" s="212"/>
      <c r="P221" s="212"/>
      <c r="Q221" s="212"/>
      <c r="R221" s="212"/>
    </row>
    <row r="222" spans="2:18" s="208" customFormat="1" x14ac:dyDescent="0.2">
      <c r="B222" s="212"/>
      <c r="C222" s="212"/>
      <c r="D222" s="212"/>
      <c r="E222" s="212"/>
      <c r="F222" s="212"/>
      <c r="G222" s="212"/>
      <c r="H222" s="212"/>
      <c r="I222" s="212"/>
      <c r="J222" s="212"/>
      <c r="K222" s="212"/>
      <c r="L222" s="212"/>
      <c r="M222" s="212"/>
      <c r="N222" s="212"/>
      <c r="O222" s="212"/>
      <c r="P222" s="212"/>
      <c r="Q222" s="212"/>
      <c r="R222" s="212"/>
    </row>
    <row r="223" spans="2:18" s="208" customFormat="1" x14ac:dyDescent="0.2">
      <c r="B223" s="212"/>
      <c r="C223" s="212"/>
      <c r="D223" s="212"/>
      <c r="E223" s="212"/>
      <c r="F223" s="212"/>
      <c r="G223" s="212"/>
      <c r="H223" s="212"/>
      <c r="I223" s="212"/>
      <c r="J223" s="212"/>
      <c r="K223" s="212"/>
      <c r="L223" s="212"/>
      <c r="M223" s="212"/>
      <c r="N223" s="212"/>
      <c r="O223" s="212"/>
      <c r="P223" s="212"/>
      <c r="Q223" s="212"/>
      <c r="R223" s="212"/>
    </row>
    <row r="224" spans="2:18" s="208" customFormat="1" x14ac:dyDescent="0.2">
      <c r="B224" s="212"/>
      <c r="C224" s="212"/>
      <c r="D224" s="212"/>
      <c r="E224" s="212"/>
      <c r="F224" s="212"/>
      <c r="G224" s="212"/>
      <c r="H224" s="212"/>
      <c r="I224" s="212"/>
      <c r="J224" s="212"/>
      <c r="K224" s="212"/>
      <c r="L224" s="212"/>
      <c r="M224" s="212"/>
      <c r="N224" s="212"/>
      <c r="O224" s="212"/>
      <c r="P224" s="212"/>
      <c r="Q224" s="212"/>
      <c r="R224" s="212"/>
    </row>
    <row r="225" spans="2:18" s="208" customFormat="1" x14ac:dyDescent="0.2">
      <c r="B225" s="212"/>
      <c r="C225" s="212"/>
      <c r="D225" s="212"/>
      <c r="E225" s="212"/>
      <c r="F225" s="212"/>
      <c r="G225" s="212"/>
      <c r="H225" s="212"/>
      <c r="I225" s="212"/>
      <c r="J225" s="212"/>
      <c r="K225" s="212"/>
      <c r="L225" s="212"/>
      <c r="M225" s="212"/>
      <c r="N225" s="212"/>
      <c r="O225" s="212"/>
      <c r="P225" s="212"/>
      <c r="Q225" s="212"/>
      <c r="R225" s="212"/>
    </row>
    <row r="226" spans="2:18" s="208" customFormat="1" x14ac:dyDescent="0.2">
      <c r="B226" s="212"/>
      <c r="C226" s="212"/>
      <c r="D226" s="212"/>
      <c r="E226" s="212"/>
      <c r="F226" s="212"/>
      <c r="G226" s="212"/>
      <c r="H226" s="212"/>
      <c r="I226" s="212"/>
      <c r="J226" s="212"/>
      <c r="K226" s="212"/>
      <c r="L226" s="212"/>
      <c r="M226" s="212"/>
      <c r="N226" s="212"/>
      <c r="O226" s="212"/>
      <c r="P226" s="212"/>
      <c r="Q226" s="212"/>
      <c r="R226" s="212"/>
    </row>
    <row r="227" spans="2:18" s="208" customFormat="1" x14ac:dyDescent="0.2">
      <c r="B227" s="212"/>
      <c r="C227" s="212"/>
      <c r="D227" s="212"/>
      <c r="E227" s="212"/>
      <c r="F227" s="212"/>
      <c r="G227" s="212"/>
      <c r="H227" s="212"/>
      <c r="I227" s="212"/>
      <c r="J227" s="212"/>
      <c r="K227" s="212"/>
      <c r="L227" s="212"/>
      <c r="M227" s="212"/>
      <c r="N227" s="212"/>
      <c r="O227" s="212"/>
      <c r="P227" s="212"/>
      <c r="Q227" s="212"/>
      <c r="R227" s="212"/>
    </row>
    <row r="228" spans="2:18" s="208" customFormat="1" x14ac:dyDescent="0.2">
      <c r="B228" s="212"/>
      <c r="C228" s="212"/>
      <c r="D228" s="212"/>
      <c r="E228" s="212"/>
      <c r="F228" s="212"/>
      <c r="G228" s="212"/>
      <c r="H228" s="212"/>
      <c r="I228" s="212"/>
      <c r="J228" s="212"/>
      <c r="K228" s="212"/>
      <c r="L228" s="212"/>
      <c r="M228" s="212"/>
      <c r="N228" s="212"/>
      <c r="O228" s="212"/>
      <c r="P228" s="212"/>
      <c r="Q228" s="212"/>
      <c r="R228" s="212"/>
    </row>
    <row r="229" spans="2:18" s="208" customFormat="1" x14ac:dyDescent="0.2">
      <c r="B229" s="212"/>
      <c r="C229" s="212"/>
      <c r="D229" s="212"/>
      <c r="E229" s="212"/>
      <c r="F229" s="212"/>
      <c r="G229" s="212"/>
      <c r="H229" s="212"/>
      <c r="I229" s="212"/>
      <c r="J229" s="212"/>
      <c r="K229" s="212"/>
      <c r="L229" s="212"/>
      <c r="M229" s="212"/>
      <c r="N229" s="212"/>
      <c r="O229" s="212"/>
      <c r="P229" s="212"/>
      <c r="Q229" s="212"/>
      <c r="R229" s="212"/>
    </row>
    <row r="230" spans="2:18" s="208" customFormat="1" x14ac:dyDescent="0.2">
      <c r="B230" s="212"/>
      <c r="C230" s="212"/>
      <c r="D230" s="212"/>
      <c r="E230" s="212"/>
      <c r="F230" s="212"/>
      <c r="G230" s="212"/>
      <c r="H230" s="212"/>
      <c r="I230" s="212"/>
      <c r="J230" s="212"/>
      <c r="K230" s="212"/>
      <c r="L230" s="212"/>
      <c r="M230" s="212"/>
      <c r="N230" s="212"/>
      <c r="O230" s="212"/>
      <c r="P230" s="212"/>
      <c r="Q230" s="212"/>
      <c r="R230" s="212"/>
    </row>
    <row r="231" spans="2:18" s="208" customFormat="1" x14ac:dyDescent="0.2">
      <c r="B231" s="212"/>
      <c r="C231" s="212"/>
      <c r="D231" s="212"/>
      <c r="E231" s="212"/>
      <c r="F231" s="212"/>
      <c r="G231" s="212"/>
      <c r="H231" s="212"/>
      <c r="I231" s="212"/>
      <c r="J231" s="212"/>
      <c r="K231" s="212"/>
      <c r="L231" s="212"/>
      <c r="M231" s="212"/>
      <c r="N231" s="212"/>
      <c r="O231" s="212"/>
      <c r="P231" s="212"/>
      <c r="Q231" s="212"/>
      <c r="R231" s="212"/>
    </row>
    <row r="232" spans="2:18" s="208" customFormat="1" x14ac:dyDescent="0.2">
      <c r="B232" s="212"/>
      <c r="C232" s="212"/>
      <c r="D232" s="212"/>
      <c r="E232" s="212"/>
      <c r="F232" s="212"/>
      <c r="G232" s="212"/>
      <c r="H232" s="212"/>
      <c r="I232" s="212"/>
      <c r="J232" s="212"/>
      <c r="K232" s="212"/>
      <c r="L232" s="212"/>
      <c r="M232" s="212"/>
      <c r="N232" s="212"/>
      <c r="O232" s="212"/>
      <c r="P232" s="212"/>
      <c r="Q232" s="212"/>
      <c r="R232" s="212"/>
    </row>
    <row r="233" spans="2:18" s="208" customFormat="1" x14ac:dyDescent="0.2">
      <c r="B233" s="212"/>
      <c r="C233" s="212"/>
      <c r="D233" s="212"/>
      <c r="E233" s="212"/>
      <c r="F233" s="212"/>
      <c r="G233" s="212"/>
      <c r="H233" s="212"/>
      <c r="I233" s="212"/>
      <c r="J233" s="212"/>
      <c r="K233" s="212"/>
      <c r="L233" s="212"/>
      <c r="M233" s="212"/>
      <c r="N233" s="212"/>
      <c r="O233" s="212"/>
      <c r="P233" s="212"/>
      <c r="Q233" s="212"/>
      <c r="R233" s="212"/>
    </row>
    <row r="234" spans="2:18" s="208" customFormat="1" x14ac:dyDescent="0.2">
      <c r="B234" s="212"/>
      <c r="C234" s="212"/>
      <c r="D234" s="212"/>
      <c r="E234" s="212"/>
      <c r="F234" s="212"/>
      <c r="G234" s="212"/>
      <c r="H234" s="212"/>
      <c r="I234" s="212"/>
      <c r="J234" s="212"/>
      <c r="K234" s="212"/>
      <c r="L234" s="212"/>
      <c r="M234" s="212"/>
      <c r="N234" s="212"/>
      <c r="O234" s="212"/>
      <c r="P234" s="212"/>
      <c r="Q234" s="212"/>
      <c r="R234" s="212"/>
    </row>
    <row r="235" spans="2:18" s="208" customFormat="1" x14ac:dyDescent="0.2">
      <c r="B235" s="212"/>
      <c r="C235" s="212"/>
      <c r="D235" s="212"/>
      <c r="E235" s="212"/>
      <c r="F235" s="212"/>
      <c r="G235" s="212"/>
      <c r="H235" s="212"/>
      <c r="I235" s="212"/>
      <c r="J235" s="212"/>
      <c r="K235" s="212"/>
      <c r="L235" s="212"/>
      <c r="M235" s="212"/>
      <c r="N235" s="212"/>
      <c r="O235" s="212"/>
      <c r="P235" s="212"/>
      <c r="Q235" s="212"/>
      <c r="R235" s="212"/>
    </row>
    <row r="236" spans="2:18" s="208" customFormat="1" x14ac:dyDescent="0.2">
      <c r="B236" s="212"/>
      <c r="C236" s="212"/>
      <c r="D236" s="212"/>
      <c r="E236" s="212"/>
      <c r="F236" s="212"/>
      <c r="G236" s="212"/>
      <c r="H236" s="212"/>
      <c r="I236" s="212"/>
      <c r="J236" s="212"/>
      <c r="K236" s="212"/>
      <c r="L236" s="212"/>
      <c r="M236" s="212"/>
      <c r="N236" s="212"/>
      <c r="O236" s="212"/>
      <c r="P236" s="212"/>
      <c r="Q236" s="212"/>
      <c r="R236" s="212"/>
    </row>
    <row r="237" spans="2:18" s="208" customFormat="1" x14ac:dyDescent="0.2">
      <c r="B237" s="212"/>
      <c r="C237" s="212"/>
      <c r="D237" s="212"/>
      <c r="E237" s="212"/>
      <c r="F237" s="212"/>
      <c r="G237" s="212"/>
      <c r="H237" s="212"/>
      <c r="I237" s="212"/>
      <c r="J237" s="212"/>
      <c r="K237" s="212"/>
      <c r="L237" s="212"/>
      <c r="M237" s="212"/>
      <c r="N237" s="212"/>
      <c r="O237" s="212"/>
      <c r="P237" s="212"/>
      <c r="Q237" s="212"/>
      <c r="R237" s="212"/>
    </row>
    <row r="238" spans="2:18" s="208" customFormat="1" x14ac:dyDescent="0.2">
      <c r="B238" s="212"/>
      <c r="C238" s="212"/>
      <c r="D238" s="212"/>
      <c r="E238" s="212"/>
      <c r="F238" s="212"/>
      <c r="G238" s="212"/>
      <c r="H238" s="212"/>
      <c r="I238" s="212"/>
      <c r="J238" s="212"/>
      <c r="K238" s="212"/>
      <c r="L238" s="212"/>
      <c r="M238" s="212"/>
      <c r="N238" s="212"/>
      <c r="O238" s="212"/>
      <c r="P238" s="212"/>
      <c r="Q238" s="212"/>
      <c r="R238" s="212"/>
    </row>
    <row r="239" spans="2:18" s="208" customFormat="1" x14ac:dyDescent="0.2">
      <c r="B239" s="212"/>
      <c r="C239" s="212"/>
      <c r="D239" s="212"/>
      <c r="E239" s="212"/>
      <c r="F239" s="212"/>
      <c r="G239" s="212"/>
      <c r="H239" s="212"/>
      <c r="I239" s="212"/>
      <c r="J239" s="212"/>
      <c r="K239" s="212"/>
      <c r="L239" s="212"/>
      <c r="M239" s="212"/>
      <c r="N239" s="212"/>
      <c r="O239" s="212"/>
      <c r="P239" s="212"/>
      <c r="Q239" s="212"/>
      <c r="R239" s="212"/>
    </row>
    <row r="240" spans="2:18" s="208" customFormat="1" x14ac:dyDescent="0.2">
      <c r="B240" s="212"/>
      <c r="C240" s="212"/>
      <c r="D240" s="212"/>
      <c r="E240" s="212"/>
      <c r="F240" s="212"/>
      <c r="G240" s="212"/>
      <c r="H240" s="212"/>
      <c r="I240" s="212"/>
      <c r="J240" s="212"/>
      <c r="K240" s="212"/>
      <c r="L240" s="212"/>
      <c r="M240" s="212"/>
      <c r="N240" s="212"/>
      <c r="O240" s="212"/>
      <c r="P240" s="212"/>
      <c r="Q240" s="212"/>
      <c r="R240" s="212"/>
    </row>
    <row r="241" spans="2:18" s="208" customFormat="1" x14ac:dyDescent="0.2">
      <c r="B241" s="212"/>
      <c r="C241" s="212"/>
      <c r="D241" s="212"/>
      <c r="E241" s="212"/>
      <c r="F241" s="212"/>
      <c r="G241" s="212"/>
      <c r="H241" s="212"/>
      <c r="I241" s="212"/>
      <c r="J241" s="212"/>
      <c r="K241" s="212"/>
      <c r="L241" s="212"/>
      <c r="M241" s="212"/>
      <c r="N241" s="212"/>
      <c r="O241" s="212"/>
      <c r="P241" s="212"/>
      <c r="Q241" s="212"/>
      <c r="R241" s="212"/>
    </row>
    <row r="242" spans="2:18" s="208" customFormat="1" x14ac:dyDescent="0.2">
      <c r="B242" s="212"/>
      <c r="C242" s="212"/>
      <c r="D242" s="212"/>
      <c r="E242" s="212"/>
      <c r="F242" s="212"/>
      <c r="G242" s="212"/>
      <c r="H242" s="212"/>
      <c r="I242" s="212"/>
      <c r="J242" s="212"/>
      <c r="K242" s="212"/>
      <c r="L242" s="212"/>
      <c r="M242" s="212"/>
      <c r="N242" s="212"/>
      <c r="O242" s="212"/>
      <c r="P242" s="212"/>
      <c r="Q242" s="212"/>
      <c r="R242" s="212"/>
    </row>
    <row r="243" spans="2:18" s="208" customFormat="1" x14ac:dyDescent="0.2">
      <c r="B243" s="212"/>
      <c r="C243" s="212"/>
      <c r="D243" s="212"/>
      <c r="E243" s="212"/>
      <c r="F243" s="212"/>
      <c r="G243" s="212"/>
      <c r="H243" s="212"/>
      <c r="I243" s="212"/>
      <c r="J243" s="212"/>
      <c r="K243" s="212"/>
      <c r="L243" s="212"/>
      <c r="M243" s="212"/>
      <c r="N243" s="212"/>
      <c r="O243" s="212"/>
      <c r="P243" s="212"/>
      <c r="Q243" s="212"/>
      <c r="R243" s="212"/>
    </row>
    <row r="244" spans="2:18" s="208" customFormat="1" x14ac:dyDescent="0.2">
      <c r="B244" s="212"/>
      <c r="C244" s="212"/>
      <c r="D244" s="212"/>
      <c r="E244" s="212"/>
      <c r="F244" s="212"/>
      <c r="G244" s="212"/>
      <c r="H244" s="212"/>
      <c r="I244" s="212"/>
      <c r="J244" s="212"/>
      <c r="K244" s="212"/>
      <c r="L244" s="212"/>
      <c r="M244" s="212"/>
      <c r="N244" s="212"/>
      <c r="O244" s="212"/>
      <c r="P244" s="212"/>
      <c r="Q244" s="212"/>
      <c r="R244" s="212"/>
    </row>
    <row r="245" spans="2:18" s="208" customFormat="1" x14ac:dyDescent="0.2">
      <c r="B245" s="212"/>
      <c r="C245" s="212"/>
      <c r="D245" s="212"/>
      <c r="E245" s="212"/>
      <c r="F245" s="212"/>
      <c r="G245" s="212"/>
      <c r="H245" s="212"/>
      <c r="I245" s="212"/>
      <c r="J245" s="212"/>
      <c r="K245" s="212"/>
      <c r="L245" s="212"/>
      <c r="M245" s="212"/>
      <c r="N245" s="212"/>
      <c r="O245" s="212"/>
      <c r="P245" s="212"/>
      <c r="Q245" s="212"/>
      <c r="R245" s="212"/>
    </row>
    <row r="246" spans="2:18" s="208" customFormat="1" x14ac:dyDescent="0.2">
      <c r="B246" s="212"/>
      <c r="C246" s="212"/>
      <c r="D246" s="212"/>
      <c r="E246" s="212"/>
      <c r="F246" s="212"/>
      <c r="G246" s="212"/>
      <c r="H246" s="212"/>
      <c r="I246" s="212"/>
      <c r="J246" s="212"/>
      <c r="K246" s="212"/>
      <c r="L246" s="212"/>
      <c r="M246" s="212"/>
      <c r="N246" s="212"/>
      <c r="O246" s="212"/>
      <c r="P246" s="212"/>
      <c r="Q246" s="212"/>
      <c r="R246" s="212"/>
    </row>
    <row r="247" spans="2:18" s="208" customFormat="1" x14ac:dyDescent="0.2">
      <c r="B247" s="212"/>
      <c r="C247" s="212"/>
      <c r="D247" s="212"/>
      <c r="E247" s="212"/>
      <c r="F247" s="212"/>
      <c r="G247" s="212"/>
      <c r="H247" s="212"/>
      <c r="I247" s="212"/>
      <c r="J247" s="212"/>
      <c r="K247" s="212"/>
      <c r="L247" s="212"/>
      <c r="M247" s="212"/>
      <c r="N247" s="212"/>
      <c r="O247" s="212"/>
      <c r="P247" s="212"/>
      <c r="Q247" s="212"/>
      <c r="R247" s="212"/>
    </row>
    <row r="248" spans="2:18" s="208" customFormat="1" x14ac:dyDescent="0.2">
      <c r="B248" s="212"/>
      <c r="C248" s="212"/>
      <c r="D248" s="212"/>
      <c r="E248" s="212"/>
      <c r="F248" s="212"/>
      <c r="G248" s="212"/>
      <c r="H248" s="212"/>
      <c r="I248" s="212"/>
      <c r="J248" s="212"/>
      <c r="K248" s="212"/>
      <c r="L248" s="212"/>
      <c r="M248" s="212"/>
      <c r="N248" s="212"/>
      <c r="O248" s="212"/>
      <c r="P248" s="212"/>
      <c r="Q248" s="212"/>
      <c r="R248" s="212"/>
    </row>
    <row r="249" spans="2:18" s="208" customFormat="1" x14ac:dyDescent="0.2">
      <c r="B249" s="212"/>
      <c r="C249" s="212"/>
      <c r="D249" s="212"/>
      <c r="E249" s="212"/>
      <c r="F249" s="212"/>
      <c r="G249" s="212"/>
      <c r="H249" s="212"/>
      <c r="I249" s="212"/>
      <c r="J249" s="212"/>
      <c r="K249" s="212"/>
      <c r="L249" s="212"/>
      <c r="M249" s="212"/>
      <c r="N249" s="212"/>
      <c r="O249" s="212"/>
      <c r="P249" s="212"/>
      <c r="Q249" s="212"/>
      <c r="R249" s="212"/>
    </row>
    <row r="250" spans="2:18" s="208" customFormat="1" x14ac:dyDescent="0.2">
      <c r="B250" s="212"/>
      <c r="C250" s="212"/>
      <c r="D250" s="212"/>
      <c r="E250" s="212"/>
      <c r="F250" s="212"/>
      <c r="G250" s="212"/>
      <c r="H250" s="212"/>
      <c r="I250" s="212"/>
      <c r="J250" s="212"/>
      <c r="K250" s="212"/>
      <c r="L250" s="212"/>
      <c r="M250" s="212"/>
      <c r="N250" s="212"/>
      <c r="O250" s="212"/>
      <c r="P250" s="212"/>
      <c r="Q250" s="212"/>
      <c r="R250" s="212"/>
    </row>
    <row r="251" spans="2:18" s="208" customFormat="1" x14ac:dyDescent="0.2">
      <c r="B251" s="212"/>
      <c r="C251" s="212"/>
      <c r="D251" s="212"/>
      <c r="E251" s="212"/>
      <c r="F251" s="212"/>
      <c r="G251" s="212"/>
      <c r="H251" s="212"/>
      <c r="I251" s="212"/>
      <c r="J251" s="212"/>
      <c r="K251" s="212"/>
      <c r="L251" s="212"/>
      <c r="M251" s="212"/>
      <c r="N251" s="212"/>
      <c r="O251" s="212"/>
      <c r="P251" s="212"/>
      <c r="Q251" s="212"/>
      <c r="R251" s="212"/>
    </row>
    <row r="252" spans="2:18" s="208" customFormat="1" x14ac:dyDescent="0.2">
      <c r="B252" s="212"/>
      <c r="C252" s="212"/>
      <c r="D252" s="212"/>
      <c r="E252" s="212"/>
      <c r="F252" s="212"/>
      <c r="G252" s="212"/>
      <c r="H252" s="212"/>
      <c r="I252" s="212"/>
      <c r="J252" s="212"/>
      <c r="K252" s="212"/>
      <c r="L252" s="212"/>
      <c r="M252" s="212"/>
      <c r="N252" s="212"/>
      <c r="O252" s="212"/>
      <c r="P252" s="212"/>
      <c r="Q252" s="212"/>
      <c r="R252" s="212"/>
    </row>
    <row r="253" spans="2:18" s="208" customFormat="1" x14ac:dyDescent="0.2">
      <c r="B253" s="212"/>
      <c r="C253" s="212"/>
      <c r="D253" s="212"/>
      <c r="E253" s="212"/>
      <c r="F253" s="212"/>
      <c r="G253" s="212"/>
      <c r="H253" s="212"/>
      <c r="I253" s="212"/>
      <c r="J253" s="212"/>
      <c r="K253" s="212"/>
      <c r="L253" s="212"/>
      <c r="M253" s="212"/>
      <c r="N253" s="212"/>
      <c r="O253" s="212"/>
      <c r="P253" s="212"/>
      <c r="Q253" s="212"/>
      <c r="R253" s="212"/>
    </row>
    <row r="254" spans="2:18" s="208" customFormat="1" x14ac:dyDescent="0.2">
      <c r="B254" s="212"/>
      <c r="C254" s="212"/>
      <c r="D254" s="212"/>
      <c r="E254" s="212"/>
      <c r="F254" s="212"/>
      <c r="G254" s="212"/>
      <c r="H254" s="212"/>
      <c r="I254" s="212"/>
      <c r="J254" s="212"/>
      <c r="K254" s="212"/>
      <c r="L254" s="212"/>
      <c r="M254" s="212"/>
      <c r="N254" s="212"/>
      <c r="O254" s="212"/>
      <c r="P254" s="212"/>
      <c r="Q254" s="212"/>
      <c r="R254" s="212"/>
    </row>
    <row r="255" spans="2:18" s="208" customFormat="1" x14ac:dyDescent="0.2">
      <c r="B255" s="212"/>
      <c r="C255" s="212"/>
      <c r="D255" s="212"/>
      <c r="E255" s="212"/>
      <c r="F255" s="212"/>
      <c r="G255" s="212"/>
      <c r="H255" s="212"/>
      <c r="I255" s="212"/>
      <c r="J255" s="212"/>
      <c r="K255" s="212"/>
      <c r="L255" s="212"/>
      <c r="M255" s="212"/>
      <c r="N255" s="212"/>
      <c r="O255" s="212"/>
      <c r="P255" s="212"/>
      <c r="Q255" s="212"/>
      <c r="R255" s="212"/>
    </row>
    <row r="256" spans="2:18" s="208" customFormat="1" x14ac:dyDescent="0.2">
      <c r="B256" s="212"/>
      <c r="C256" s="212"/>
      <c r="D256" s="212"/>
      <c r="E256" s="212"/>
      <c r="F256" s="212"/>
      <c r="G256" s="212"/>
      <c r="H256" s="212"/>
      <c r="I256" s="212"/>
      <c r="J256" s="212"/>
      <c r="K256" s="212"/>
      <c r="L256" s="212"/>
      <c r="M256" s="212"/>
      <c r="N256" s="212"/>
      <c r="O256" s="212"/>
      <c r="P256" s="212"/>
      <c r="Q256" s="212"/>
      <c r="R256" s="212"/>
    </row>
    <row r="257" spans="2:18" s="208" customFormat="1" x14ac:dyDescent="0.2">
      <c r="B257" s="212"/>
      <c r="C257" s="212"/>
      <c r="D257" s="212"/>
      <c r="E257" s="212"/>
      <c r="F257" s="212"/>
      <c r="G257" s="212"/>
      <c r="H257" s="212"/>
      <c r="I257" s="212"/>
      <c r="J257" s="212"/>
      <c r="K257" s="212"/>
      <c r="L257" s="212"/>
      <c r="M257" s="212"/>
      <c r="N257" s="212"/>
      <c r="O257" s="212"/>
      <c r="P257" s="212"/>
      <c r="Q257" s="212"/>
      <c r="R257" s="212"/>
    </row>
    <row r="258" spans="2:18" s="208" customFormat="1" x14ac:dyDescent="0.2">
      <c r="B258" s="212"/>
      <c r="C258" s="212"/>
      <c r="D258" s="212"/>
      <c r="E258" s="212"/>
      <c r="F258" s="212"/>
      <c r="G258" s="212"/>
      <c r="H258" s="212"/>
      <c r="I258" s="212"/>
      <c r="J258" s="212"/>
      <c r="K258" s="212"/>
      <c r="L258" s="212"/>
      <c r="M258" s="212"/>
      <c r="N258" s="212"/>
      <c r="O258" s="212"/>
      <c r="P258" s="212"/>
      <c r="Q258" s="212"/>
      <c r="R258" s="212"/>
    </row>
    <row r="259" spans="2:18" s="208" customFormat="1" x14ac:dyDescent="0.2">
      <c r="B259" s="212"/>
      <c r="C259" s="212"/>
      <c r="D259" s="212"/>
      <c r="E259" s="212"/>
      <c r="F259" s="212"/>
      <c r="G259" s="212"/>
      <c r="H259" s="212"/>
      <c r="I259" s="212"/>
      <c r="J259" s="212"/>
      <c r="K259" s="212"/>
      <c r="L259" s="212"/>
      <c r="M259" s="212"/>
      <c r="N259" s="212"/>
      <c r="O259" s="212"/>
      <c r="P259" s="212"/>
      <c r="Q259" s="212"/>
      <c r="R259" s="212"/>
    </row>
    <row r="260" spans="2:18" s="208" customFormat="1" x14ac:dyDescent="0.2">
      <c r="B260" s="212"/>
      <c r="C260" s="212"/>
      <c r="D260" s="212"/>
      <c r="E260" s="212"/>
      <c r="F260" s="212"/>
      <c r="G260" s="212"/>
      <c r="H260" s="212"/>
      <c r="I260" s="212"/>
      <c r="J260" s="212"/>
      <c r="K260" s="212"/>
      <c r="L260" s="212"/>
      <c r="M260" s="212"/>
      <c r="N260" s="212"/>
      <c r="O260" s="212"/>
      <c r="P260" s="212"/>
      <c r="Q260" s="212"/>
      <c r="R260" s="212"/>
    </row>
    <row r="261" spans="2:18" s="208" customFormat="1" x14ac:dyDescent="0.2">
      <c r="B261" s="212"/>
      <c r="C261" s="212"/>
      <c r="D261" s="212"/>
      <c r="E261" s="212"/>
      <c r="F261" s="212"/>
      <c r="G261" s="212"/>
      <c r="H261" s="212"/>
      <c r="I261" s="212"/>
      <c r="J261" s="212"/>
      <c r="K261" s="212"/>
      <c r="L261" s="212"/>
      <c r="M261" s="212"/>
      <c r="N261" s="212"/>
      <c r="O261" s="212"/>
      <c r="P261" s="212"/>
      <c r="Q261" s="212"/>
      <c r="R261" s="212"/>
    </row>
    <row r="262" spans="2:18" s="208" customFormat="1" x14ac:dyDescent="0.2">
      <c r="B262" s="212"/>
      <c r="C262" s="212"/>
      <c r="D262" s="212"/>
      <c r="E262" s="212"/>
      <c r="F262" s="212"/>
      <c r="G262" s="212"/>
      <c r="H262" s="212"/>
      <c r="I262" s="212"/>
      <c r="J262" s="212"/>
      <c r="K262" s="212"/>
      <c r="L262" s="212"/>
      <c r="M262" s="212"/>
      <c r="N262" s="212"/>
      <c r="O262" s="212"/>
      <c r="P262" s="212"/>
      <c r="Q262" s="212"/>
      <c r="R262" s="212"/>
    </row>
    <row r="263" spans="2:18" s="208" customFormat="1" x14ac:dyDescent="0.2">
      <c r="B263" s="212"/>
      <c r="C263" s="212"/>
      <c r="D263" s="212"/>
      <c r="E263" s="212"/>
      <c r="F263" s="212"/>
      <c r="G263" s="212"/>
      <c r="H263" s="212"/>
      <c r="I263" s="212"/>
      <c r="J263" s="212"/>
      <c r="K263" s="212"/>
      <c r="L263" s="212"/>
      <c r="M263" s="212"/>
      <c r="N263" s="212"/>
      <c r="O263" s="212"/>
      <c r="P263" s="212"/>
      <c r="Q263" s="212"/>
      <c r="R263" s="212"/>
    </row>
    <row r="264" spans="2:18" s="208" customFormat="1" x14ac:dyDescent="0.2">
      <c r="B264" s="212"/>
      <c r="C264" s="212"/>
      <c r="D264" s="212"/>
      <c r="E264" s="212"/>
      <c r="F264" s="212"/>
      <c r="G264" s="212"/>
      <c r="H264" s="212"/>
      <c r="I264" s="212"/>
      <c r="J264" s="212"/>
      <c r="K264" s="212"/>
      <c r="L264" s="212"/>
      <c r="M264" s="212"/>
      <c r="N264" s="212"/>
      <c r="O264" s="212"/>
      <c r="P264" s="212"/>
      <c r="Q264" s="212"/>
      <c r="R264" s="212"/>
    </row>
    <row r="265" spans="2:18" s="208" customFormat="1" x14ac:dyDescent="0.2">
      <c r="B265" s="212"/>
      <c r="C265" s="212"/>
      <c r="D265" s="212"/>
      <c r="E265" s="212"/>
      <c r="F265" s="212"/>
      <c r="G265" s="212"/>
      <c r="H265" s="212"/>
      <c r="I265" s="212"/>
      <c r="J265" s="212"/>
      <c r="K265" s="212"/>
      <c r="L265" s="212"/>
      <c r="M265" s="212"/>
      <c r="N265" s="212"/>
      <c r="O265" s="212"/>
      <c r="P265" s="212"/>
      <c r="Q265" s="212"/>
      <c r="R265" s="212"/>
    </row>
    <row r="266" spans="2:18" s="208" customFormat="1" x14ac:dyDescent="0.2">
      <c r="B266" s="212"/>
      <c r="C266" s="212"/>
      <c r="D266" s="212"/>
      <c r="E266" s="212"/>
      <c r="F266" s="212"/>
      <c r="G266" s="212"/>
      <c r="H266" s="212"/>
      <c r="I266" s="212"/>
      <c r="J266" s="212"/>
      <c r="K266" s="212"/>
      <c r="L266" s="212"/>
      <c r="M266" s="212"/>
      <c r="N266" s="212"/>
      <c r="O266" s="212"/>
      <c r="P266" s="212"/>
      <c r="Q266" s="212"/>
      <c r="R266" s="212"/>
    </row>
    <row r="267" spans="2:18" s="208" customFormat="1" x14ac:dyDescent="0.2">
      <c r="B267" s="212"/>
      <c r="C267" s="212"/>
      <c r="D267" s="212"/>
      <c r="E267" s="212"/>
      <c r="F267" s="212"/>
      <c r="G267" s="212"/>
      <c r="H267" s="212"/>
      <c r="I267" s="212"/>
      <c r="J267" s="212"/>
      <c r="K267" s="212"/>
      <c r="L267" s="212"/>
      <c r="M267" s="212"/>
      <c r="N267" s="212"/>
      <c r="O267" s="212"/>
      <c r="P267" s="212"/>
      <c r="Q267" s="212"/>
      <c r="R267" s="212"/>
    </row>
    <row r="268" spans="2:18" s="208" customFormat="1" x14ac:dyDescent="0.2">
      <c r="B268" s="212"/>
      <c r="C268" s="212"/>
      <c r="D268" s="212"/>
      <c r="E268" s="212"/>
      <c r="F268" s="212"/>
      <c r="G268" s="212"/>
      <c r="H268" s="212"/>
      <c r="I268" s="212"/>
      <c r="J268" s="212"/>
      <c r="K268" s="212"/>
      <c r="L268" s="212"/>
      <c r="M268" s="212"/>
      <c r="N268" s="212"/>
      <c r="O268" s="212"/>
      <c r="P268" s="212"/>
      <c r="Q268" s="212"/>
      <c r="R268" s="212"/>
    </row>
    <row r="269" spans="2:18" s="208" customFormat="1" x14ac:dyDescent="0.2">
      <c r="B269" s="212"/>
      <c r="C269" s="212"/>
      <c r="D269" s="212"/>
      <c r="E269" s="212"/>
      <c r="F269" s="212"/>
      <c r="G269" s="212"/>
      <c r="H269" s="212"/>
      <c r="I269" s="212"/>
      <c r="J269" s="212"/>
      <c r="K269" s="212"/>
      <c r="L269" s="212"/>
      <c r="M269" s="212"/>
      <c r="N269" s="212"/>
      <c r="O269" s="212"/>
      <c r="P269" s="212"/>
      <c r="Q269" s="212"/>
      <c r="R269" s="212"/>
    </row>
    <row r="270" spans="2:18" s="208" customFormat="1" x14ac:dyDescent="0.2">
      <c r="B270" s="212"/>
      <c r="C270" s="212"/>
      <c r="D270" s="212"/>
      <c r="E270" s="212"/>
      <c r="F270" s="212"/>
      <c r="G270" s="212"/>
      <c r="H270" s="212"/>
      <c r="I270" s="212"/>
      <c r="J270" s="212"/>
      <c r="K270" s="212"/>
      <c r="L270" s="212"/>
      <c r="M270" s="212"/>
      <c r="N270" s="212"/>
      <c r="O270" s="212"/>
      <c r="P270" s="212"/>
      <c r="Q270" s="212"/>
      <c r="R270" s="212"/>
    </row>
    <row r="271" spans="2:18" s="208" customFormat="1" x14ac:dyDescent="0.2">
      <c r="B271" s="212"/>
      <c r="C271" s="212"/>
      <c r="D271" s="212"/>
      <c r="E271" s="212"/>
      <c r="F271" s="212"/>
      <c r="G271" s="212"/>
      <c r="H271" s="212"/>
      <c r="I271" s="212"/>
      <c r="J271" s="212"/>
      <c r="K271" s="212"/>
      <c r="L271" s="212"/>
      <c r="M271" s="212"/>
      <c r="N271" s="212"/>
      <c r="O271" s="212"/>
      <c r="P271" s="212"/>
      <c r="Q271" s="212"/>
      <c r="R271" s="212"/>
    </row>
    <row r="272" spans="2:18" s="208" customFormat="1" x14ac:dyDescent="0.2">
      <c r="B272" s="212"/>
      <c r="C272" s="212"/>
      <c r="D272" s="212"/>
      <c r="E272" s="212"/>
      <c r="F272" s="212"/>
      <c r="G272" s="212"/>
      <c r="H272" s="212"/>
      <c r="I272" s="212"/>
      <c r="J272" s="212"/>
      <c r="K272" s="212"/>
      <c r="L272" s="212"/>
      <c r="M272" s="212"/>
      <c r="N272" s="212"/>
      <c r="O272" s="212"/>
      <c r="P272" s="212"/>
      <c r="Q272" s="212"/>
      <c r="R272" s="212"/>
    </row>
    <row r="273" spans="2:18" s="208" customFormat="1" x14ac:dyDescent="0.2">
      <c r="B273" s="212"/>
      <c r="C273" s="212"/>
      <c r="D273" s="212"/>
      <c r="E273" s="212"/>
      <c r="F273" s="212"/>
      <c r="G273" s="212"/>
      <c r="H273" s="212"/>
      <c r="I273" s="212"/>
      <c r="J273" s="212"/>
      <c r="K273" s="212"/>
      <c r="L273" s="212"/>
      <c r="M273" s="212"/>
      <c r="N273" s="212"/>
      <c r="O273" s="212"/>
      <c r="P273" s="212"/>
      <c r="Q273" s="212"/>
      <c r="R273" s="212"/>
    </row>
    <row r="274" spans="2:18" s="208" customFormat="1" x14ac:dyDescent="0.2">
      <c r="B274" s="212"/>
      <c r="C274" s="212"/>
      <c r="D274" s="212"/>
      <c r="E274" s="212"/>
      <c r="F274" s="212"/>
      <c r="G274" s="212"/>
      <c r="H274" s="212"/>
      <c r="I274" s="212"/>
      <c r="J274" s="212"/>
      <c r="K274" s="212"/>
      <c r="L274" s="212"/>
      <c r="M274" s="212"/>
      <c r="N274" s="212"/>
      <c r="O274" s="212"/>
      <c r="P274" s="212"/>
      <c r="Q274" s="212"/>
      <c r="R274" s="212"/>
    </row>
    <row r="275" spans="2:18" s="208" customFormat="1" x14ac:dyDescent="0.2">
      <c r="B275" s="212"/>
      <c r="C275" s="212"/>
      <c r="D275" s="212"/>
      <c r="E275" s="212"/>
      <c r="F275" s="212"/>
      <c r="G275" s="212"/>
      <c r="H275" s="212"/>
      <c r="I275" s="212"/>
      <c r="J275" s="212"/>
      <c r="K275" s="212"/>
      <c r="L275" s="212"/>
      <c r="M275" s="212"/>
      <c r="N275" s="212"/>
      <c r="O275" s="212"/>
      <c r="P275" s="212"/>
      <c r="Q275" s="212"/>
      <c r="R275" s="212"/>
    </row>
    <row r="276" spans="2:18" s="208" customFormat="1" x14ac:dyDescent="0.2">
      <c r="B276" s="212"/>
      <c r="C276" s="212"/>
      <c r="D276" s="212"/>
      <c r="E276" s="212"/>
      <c r="F276" s="212"/>
      <c r="G276" s="212"/>
      <c r="H276" s="212"/>
      <c r="I276" s="212"/>
      <c r="J276" s="212"/>
      <c r="K276" s="212"/>
      <c r="L276" s="212"/>
      <c r="M276" s="212"/>
      <c r="N276" s="212"/>
      <c r="O276" s="212"/>
      <c r="P276" s="212"/>
      <c r="Q276" s="212"/>
      <c r="R276" s="212"/>
    </row>
    <row r="277" spans="2:18" s="208" customFormat="1" x14ac:dyDescent="0.2">
      <c r="B277" s="212"/>
      <c r="C277" s="212"/>
      <c r="D277" s="212"/>
      <c r="E277" s="212"/>
      <c r="F277" s="212"/>
      <c r="G277" s="212"/>
      <c r="H277" s="212"/>
      <c r="I277" s="212"/>
      <c r="J277" s="212"/>
      <c r="K277" s="212"/>
      <c r="L277" s="212"/>
      <c r="M277" s="212"/>
      <c r="N277" s="212"/>
      <c r="O277" s="212"/>
      <c r="P277" s="212"/>
      <c r="Q277" s="212"/>
      <c r="R277" s="212"/>
    </row>
    <row r="278" spans="2:18" s="208" customFormat="1" x14ac:dyDescent="0.2">
      <c r="B278" s="212"/>
      <c r="C278" s="212"/>
      <c r="D278" s="212"/>
      <c r="E278" s="212"/>
      <c r="F278" s="212"/>
      <c r="G278" s="212"/>
      <c r="H278" s="212"/>
      <c r="I278" s="212"/>
      <c r="J278" s="212"/>
      <c r="K278" s="212"/>
      <c r="L278" s="212"/>
      <c r="M278" s="212"/>
      <c r="N278" s="212"/>
      <c r="O278" s="212"/>
      <c r="P278" s="212"/>
      <c r="Q278" s="212"/>
      <c r="R278" s="212"/>
    </row>
    <row r="279" spans="2:18" s="208" customFormat="1" x14ac:dyDescent="0.2">
      <c r="B279" s="212"/>
      <c r="C279" s="212"/>
      <c r="D279" s="212"/>
      <c r="E279" s="212"/>
      <c r="F279" s="212"/>
      <c r="G279" s="212"/>
      <c r="H279" s="212"/>
      <c r="I279" s="212"/>
      <c r="J279" s="212"/>
      <c r="K279" s="212"/>
      <c r="L279" s="212"/>
      <c r="M279" s="212"/>
      <c r="N279" s="212"/>
      <c r="O279" s="212"/>
      <c r="P279" s="212"/>
      <c r="Q279" s="212"/>
      <c r="R279" s="212"/>
    </row>
    <row r="280" spans="2:18" s="208" customFormat="1" x14ac:dyDescent="0.2">
      <c r="B280" s="212"/>
      <c r="C280" s="212"/>
      <c r="D280" s="212"/>
      <c r="E280" s="212"/>
      <c r="F280" s="212"/>
      <c r="G280" s="212"/>
      <c r="H280" s="212"/>
      <c r="I280" s="212"/>
      <c r="J280" s="212"/>
      <c r="K280" s="212"/>
      <c r="L280" s="212"/>
      <c r="M280" s="212"/>
      <c r="N280" s="212"/>
      <c r="O280" s="212"/>
      <c r="P280" s="212"/>
      <c r="Q280" s="212"/>
      <c r="R280" s="212"/>
    </row>
    <row r="281" spans="2:18" s="208" customFormat="1" x14ac:dyDescent="0.2">
      <c r="B281" s="212"/>
      <c r="C281" s="212"/>
      <c r="D281" s="212"/>
      <c r="E281" s="212"/>
      <c r="F281" s="212"/>
      <c r="G281" s="212"/>
      <c r="H281" s="212"/>
      <c r="I281" s="212"/>
      <c r="J281" s="212"/>
      <c r="K281" s="212"/>
      <c r="L281" s="212"/>
      <c r="M281" s="212"/>
      <c r="N281" s="212"/>
      <c r="O281" s="212"/>
      <c r="P281" s="212"/>
      <c r="Q281" s="212"/>
      <c r="R281" s="212"/>
    </row>
    <row r="282" spans="2:18" s="208" customFormat="1" x14ac:dyDescent="0.2">
      <c r="B282" s="212"/>
      <c r="C282" s="212"/>
      <c r="D282" s="212"/>
      <c r="E282" s="212"/>
      <c r="F282" s="212"/>
      <c r="G282" s="212"/>
      <c r="H282" s="212"/>
      <c r="I282" s="212"/>
      <c r="J282" s="212"/>
      <c r="K282" s="212"/>
      <c r="L282" s="212"/>
      <c r="M282" s="212"/>
      <c r="N282" s="212"/>
      <c r="O282" s="212"/>
      <c r="P282" s="212"/>
      <c r="Q282" s="212"/>
      <c r="R282" s="212"/>
    </row>
    <row r="283" spans="2:18" s="208" customFormat="1" x14ac:dyDescent="0.2">
      <c r="B283" s="212"/>
      <c r="C283" s="212"/>
      <c r="D283" s="212"/>
      <c r="E283" s="212"/>
      <c r="F283" s="212"/>
      <c r="G283" s="212"/>
      <c r="H283" s="212"/>
      <c r="I283" s="212"/>
      <c r="J283" s="212"/>
      <c r="K283" s="212"/>
      <c r="L283" s="212"/>
      <c r="M283" s="212"/>
      <c r="N283" s="212"/>
      <c r="O283" s="212"/>
      <c r="P283" s="212"/>
      <c r="Q283" s="212"/>
      <c r="R283" s="212"/>
    </row>
    <row r="284" spans="2:18" s="208" customFormat="1" x14ac:dyDescent="0.2">
      <c r="B284" s="212"/>
      <c r="C284" s="212"/>
      <c r="D284" s="212"/>
      <c r="E284" s="212"/>
      <c r="F284" s="212"/>
      <c r="G284" s="212"/>
      <c r="H284" s="212"/>
      <c r="I284" s="212"/>
      <c r="J284" s="212"/>
      <c r="K284" s="212"/>
      <c r="L284" s="212"/>
      <c r="M284" s="212"/>
      <c r="N284" s="212"/>
      <c r="O284" s="212"/>
      <c r="P284" s="212"/>
      <c r="Q284" s="212"/>
      <c r="R284" s="212"/>
    </row>
    <row r="285" spans="2:18" s="208" customFormat="1" x14ac:dyDescent="0.2">
      <c r="B285" s="212"/>
      <c r="C285" s="212"/>
      <c r="D285" s="212"/>
      <c r="E285" s="212"/>
      <c r="F285" s="212"/>
      <c r="G285" s="212"/>
      <c r="H285" s="212"/>
      <c r="I285" s="212"/>
      <c r="J285" s="212"/>
      <c r="K285" s="212"/>
      <c r="L285" s="212"/>
      <c r="M285" s="212"/>
      <c r="N285" s="212"/>
      <c r="O285" s="212"/>
      <c r="P285" s="212"/>
      <c r="Q285" s="212"/>
      <c r="R285" s="212"/>
    </row>
    <row r="286" spans="2:18" s="208" customFormat="1" x14ac:dyDescent="0.2">
      <c r="B286" s="212"/>
      <c r="C286" s="212"/>
      <c r="D286" s="212"/>
      <c r="E286" s="212"/>
      <c r="F286" s="212"/>
      <c r="G286" s="212"/>
      <c r="H286" s="212"/>
      <c r="I286" s="212"/>
      <c r="J286" s="212"/>
      <c r="K286" s="212"/>
      <c r="L286" s="212"/>
      <c r="M286" s="212"/>
      <c r="N286" s="212"/>
      <c r="O286" s="212"/>
      <c r="P286" s="212"/>
      <c r="Q286" s="212"/>
      <c r="R286" s="212"/>
    </row>
    <row r="287" spans="2:18" s="208" customFormat="1" x14ac:dyDescent="0.2">
      <c r="B287" s="212"/>
      <c r="C287" s="212"/>
      <c r="D287" s="212"/>
      <c r="E287" s="212"/>
      <c r="F287" s="212"/>
      <c r="G287" s="212"/>
      <c r="H287" s="212"/>
      <c r="I287" s="212"/>
      <c r="J287" s="212"/>
      <c r="K287" s="212"/>
      <c r="L287" s="212"/>
      <c r="M287" s="212"/>
      <c r="N287" s="212"/>
      <c r="O287" s="212"/>
      <c r="P287" s="212"/>
      <c r="Q287" s="212"/>
      <c r="R287" s="212"/>
    </row>
    <row r="288" spans="2:18" s="208" customFormat="1" x14ac:dyDescent="0.2">
      <c r="B288" s="212"/>
      <c r="C288" s="212"/>
      <c r="D288" s="212"/>
      <c r="E288" s="212"/>
      <c r="F288" s="212"/>
      <c r="G288" s="212"/>
      <c r="H288" s="212"/>
      <c r="I288" s="212"/>
      <c r="J288" s="212"/>
      <c r="K288" s="212"/>
      <c r="L288" s="212"/>
      <c r="M288" s="212"/>
      <c r="N288" s="212"/>
      <c r="O288" s="212"/>
      <c r="P288" s="212"/>
      <c r="Q288" s="212"/>
      <c r="R288" s="212"/>
    </row>
    <row r="289" spans="2:18" s="208" customFormat="1" x14ac:dyDescent="0.2">
      <c r="B289" s="212"/>
      <c r="C289" s="212"/>
      <c r="D289" s="212"/>
      <c r="E289" s="212"/>
      <c r="F289" s="212"/>
      <c r="G289" s="212"/>
      <c r="H289" s="212"/>
      <c r="I289" s="212"/>
      <c r="J289" s="212"/>
      <c r="K289" s="212"/>
      <c r="L289" s="212"/>
      <c r="M289" s="212"/>
      <c r="N289" s="212"/>
      <c r="O289" s="212"/>
      <c r="P289" s="212"/>
      <c r="Q289" s="212"/>
      <c r="R289" s="212"/>
    </row>
    <row r="290" spans="2:18" s="208" customFormat="1" x14ac:dyDescent="0.2">
      <c r="B290" s="212"/>
      <c r="C290" s="212"/>
      <c r="D290" s="212"/>
      <c r="E290" s="212"/>
      <c r="F290" s="212"/>
      <c r="G290" s="212"/>
      <c r="H290" s="212"/>
      <c r="I290" s="212"/>
      <c r="J290" s="212"/>
      <c r="K290" s="212"/>
      <c r="L290" s="212"/>
      <c r="M290" s="212"/>
      <c r="N290" s="212"/>
      <c r="O290" s="212"/>
      <c r="P290" s="212"/>
      <c r="Q290" s="212"/>
      <c r="R290" s="212"/>
    </row>
    <row r="291" spans="2:18" s="208" customFormat="1" x14ac:dyDescent="0.2">
      <c r="B291" s="212"/>
      <c r="C291" s="212"/>
      <c r="D291" s="212"/>
      <c r="E291" s="212"/>
      <c r="F291" s="212"/>
      <c r="G291" s="212"/>
      <c r="H291" s="212"/>
      <c r="I291" s="212"/>
      <c r="J291" s="212"/>
      <c r="K291" s="212"/>
      <c r="L291" s="212"/>
      <c r="M291" s="212"/>
      <c r="N291" s="212"/>
      <c r="O291" s="212"/>
      <c r="P291" s="212"/>
      <c r="Q291" s="212"/>
      <c r="R291" s="212"/>
    </row>
    <row r="292" spans="2:18" s="208" customFormat="1" x14ac:dyDescent="0.2">
      <c r="B292" s="212"/>
      <c r="C292" s="212"/>
      <c r="D292" s="212"/>
      <c r="E292" s="212"/>
      <c r="F292" s="212"/>
      <c r="G292" s="212"/>
      <c r="H292" s="212"/>
      <c r="I292" s="212"/>
      <c r="J292" s="212"/>
      <c r="K292" s="212"/>
      <c r="L292" s="212"/>
      <c r="M292" s="212"/>
      <c r="N292" s="212"/>
      <c r="O292" s="212"/>
      <c r="P292" s="212"/>
      <c r="Q292" s="212"/>
      <c r="R292" s="212"/>
    </row>
    <row r="293" spans="2:18" s="208" customFormat="1" x14ac:dyDescent="0.2">
      <c r="B293" s="212"/>
      <c r="C293" s="212"/>
      <c r="D293" s="212"/>
      <c r="E293" s="212"/>
      <c r="F293" s="212"/>
      <c r="G293" s="212"/>
      <c r="H293" s="212"/>
      <c r="I293" s="212"/>
      <c r="J293" s="212"/>
      <c r="K293" s="212"/>
      <c r="L293" s="212"/>
      <c r="M293" s="212"/>
      <c r="N293" s="212"/>
      <c r="O293" s="212"/>
      <c r="P293" s="212"/>
      <c r="Q293" s="212"/>
      <c r="R293" s="212"/>
    </row>
    <row r="294" spans="2:18" s="208" customFormat="1" x14ac:dyDescent="0.2">
      <c r="B294" s="212"/>
      <c r="C294" s="212"/>
      <c r="D294" s="212"/>
      <c r="E294" s="212"/>
      <c r="F294" s="212"/>
      <c r="G294" s="212"/>
      <c r="H294" s="212"/>
      <c r="I294" s="212"/>
      <c r="J294" s="212"/>
      <c r="K294" s="212"/>
      <c r="L294" s="212"/>
      <c r="M294" s="212"/>
      <c r="N294" s="212"/>
      <c r="O294" s="212"/>
      <c r="P294" s="212"/>
      <c r="Q294" s="212"/>
      <c r="R294" s="212"/>
    </row>
    <row r="295" spans="2:18" s="208" customFormat="1" x14ac:dyDescent="0.2">
      <c r="B295" s="212"/>
      <c r="C295" s="212"/>
      <c r="D295" s="212"/>
      <c r="E295" s="212"/>
      <c r="F295" s="212"/>
      <c r="G295" s="212"/>
      <c r="H295" s="212"/>
      <c r="I295" s="212"/>
      <c r="J295" s="212"/>
      <c r="K295" s="212"/>
      <c r="L295" s="212"/>
      <c r="M295" s="212"/>
      <c r="N295" s="212"/>
      <c r="O295" s="212"/>
      <c r="P295" s="212"/>
      <c r="Q295" s="212"/>
      <c r="R295" s="212"/>
    </row>
    <row r="296" spans="2:18" s="208" customFormat="1" x14ac:dyDescent="0.2">
      <c r="B296" s="212"/>
      <c r="C296" s="212"/>
      <c r="D296" s="212"/>
      <c r="E296" s="212"/>
      <c r="F296" s="212"/>
      <c r="G296" s="212"/>
      <c r="H296" s="212"/>
      <c r="I296" s="212"/>
      <c r="J296" s="212"/>
      <c r="K296" s="212"/>
      <c r="L296" s="212"/>
      <c r="M296" s="212"/>
      <c r="N296" s="212"/>
      <c r="O296" s="212"/>
      <c r="P296" s="212"/>
      <c r="Q296" s="212"/>
      <c r="R296" s="212"/>
    </row>
    <row r="297" spans="2:18" s="208" customFormat="1" x14ac:dyDescent="0.2">
      <c r="B297" s="212"/>
      <c r="C297" s="212"/>
      <c r="D297" s="212"/>
      <c r="E297" s="212"/>
      <c r="F297" s="212"/>
      <c r="G297" s="212"/>
      <c r="H297" s="212"/>
      <c r="I297" s="212"/>
      <c r="J297" s="212"/>
      <c r="K297" s="212"/>
      <c r="L297" s="212"/>
      <c r="M297" s="212"/>
      <c r="N297" s="212"/>
      <c r="O297" s="212"/>
      <c r="P297" s="212"/>
      <c r="Q297" s="212"/>
      <c r="R297" s="212"/>
    </row>
    <row r="298" spans="2:18" s="208" customFormat="1" x14ac:dyDescent="0.2">
      <c r="B298" s="212"/>
      <c r="C298" s="212"/>
      <c r="D298" s="212"/>
      <c r="E298" s="212"/>
      <c r="F298" s="212"/>
      <c r="G298" s="212"/>
      <c r="H298" s="212"/>
      <c r="I298" s="212"/>
      <c r="J298" s="212"/>
      <c r="K298" s="212"/>
      <c r="L298" s="212"/>
      <c r="M298" s="212"/>
      <c r="N298" s="212"/>
      <c r="O298" s="212"/>
      <c r="P298" s="212"/>
      <c r="Q298" s="212"/>
      <c r="R298" s="212"/>
    </row>
    <row r="299" spans="2:18" s="208" customFormat="1" x14ac:dyDescent="0.2">
      <c r="B299" s="212"/>
      <c r="C299" s="212"/>
      <c r="D299" s="212"/>
      <c r="E299" s="212"/>
      <c r="F299" s="212"/>
      <c r="G299" s="212"/>
      <c r="H299" s="212"/>
      <c r="I299" s="212"/>
      <c r="J299" s="212"/>
      <c r="K299" s="212"/>
      <c r="L299" s="212"/>
      <c r="M299" s="212"/>
      <c r="N299" s="212"/>
      <c r="O299" s="212"/>
      <c r="P299" s="212"/>
      <c r="Q299" s="212"/>
      <c r="R299" s="212"/>
    </row>
    <row r="300" spans="2:18" s="208" customFormat="1" x14ac:dyDescent="0.2">
      <c r="B300" s="212"/>
      <c r="C300" s="212"/>
      <c r="D300" s="212"/>
      <c r="E300" s="212"/>
      <c r="F300" s="212"/>
      <c r="G300" s="212"/>
      <c r="H300" s="212"/>
      <c r="I300" s="212"/>
      <c r="J300" s="212"/>
      <c r="K300" s="212"/>
      <c r="L300" s="212"/>
      <c r="M300" s="212"/>
      <c r="N300" s="212"/>
      <c r="O300" s="212"/>
      <c r="P300" s="212"/>
      <c r="Q300" s="212"/>
      <c r="R300" s="212"/>
    </row>
    <row r="301" spans="2:18" s="208" customFormat="1" x14ac:dyDescent="0.2">
      <c r="B301" s="212"/>
      <c r="C301" s="212"/>
      <c r="D301" s="212"/>
      <c r="E301" s="212"/>
      <c r="F301" s="212"/>
      <c r="G301" s="212"/>
      <c r="H301" s="212"/>
      <c r="I301" s="212"/>
      <c r="J301" s="212"/>
      <c r="K301" s="212"/>
      <c r="L301" s="212"/>
      <c r="M301" s="212"/>
      <c r="N301" s="212"/>
      <c r="O301" s="212"/>
      <c r="P301" s="212"/>
      <c r="Q301" s="212"/>
      <c r="R301" s="212"/>
    </row>
    <row r="302" spans="2:18" s="208" customFormat="1" x14ac:dyDescent="0.2">
      <c r="B302" s="212"/>
      <c r="C302" s="212"/>
      <c r="D302" s="212"/>
      <c r="E302" s="212"/>
      <c r="F302" s="212"/>
      <c r="G302" s="212"/>
      <c r="H302" s="212"/>
      <c r="I302" s="212"/>
      <c r="J302" s="212"/>
      <c r="K302" s="212"/>
      <c r="L302" s="212"/>
      <c r="M302" s="212"/>
      <c r="N302" s="212"/>
      <c r="O302" s="212"/>
      <c r="P302" s="212"/>
      <c r="Q302" s="212"/>
      <c r="R302" s="212"/>
    </row>
    <row r="303" spans="2:18" s="208" customFormat="1" x14ac:dyDescent="0.2">
      <c r="B303" s="212"/>
      <c r="C303" s="212"/>
      <c r="D303" s="212"/>
      <c r="E303" s="212"/>
      <c r="F303" s="212"/>
      <c r="G303" s="212"/>
      <c r="H303" s="212"/>
      <c r="I303" s="212"/>
      <c r="J303" s="212"/>
      <c r="K303" s="212"/>
      <c r="L303" s="212"/>
      <c r="M303" s="212"/>
      <c r="N303" s="212"/>
      <c r="O303" s="212"/>
      <c r="P303" s="212"/>
      <c r="Q303" s="212"/>
      <c r="R303" s="212"/>
    </row>
    <row r="304" spans="2:18" s="208" customFormat="1" x14ac:dyDescent="0.2">
      <c r="B304" s="212"/>
      <c r="C304" s="212"/>
      <c r="D304" s="212"/>
      <c r="E304" s="212"/>
      <c r="F304" s="212"/>
      <c r="G304" s="212"/>
      <c r="H304" s="212"/>
      <c r="I304" s="212"/>
      <c r="J304" s="212"/>
      <c r="K304" s="212"/>
      <c r="L304" s="212"/>
      <c r="M304" s="212"/>
      <c r="N304" s="212"/>
      <c r="O304" s="212"/>
      <c r="P304" s="212"/>
      <c r="Q304" s="212"/>
      <c r="R304" s="212"/>
    </row>
    <row r="305" spans="2:18" s="208" customFormat="1" x14ac:dyDescent="0.2">
      <c r="B305" s="212"/>
      <c r="C305" s="212"/>
      <c r="D305" s="212"/>
      <c r="E305" s="212"/>
      <c r="F305" s="212"/>
      <c r="G305" s="212"/>
      <c r="H305" s="212"/>
      <c r="I305" s="212"/>
      <c r="J305" s="212"/>
      <c r="K305" s="212"/>
      <c r="L305" s="212"/>
      <c r="M305" s="212"/>
      <c r="N305" s="212"/>
      <c r="O305" s="212"/>
      <c r="P305" s="212"/>
      <c r="Q305" s="212"/>
      <c r="R305" s="212"/>
    </row>
    <row r="306" spans="2:18" s="208" customFormat="1" x14ac:dyDescent="0.2">
      <c r="B306" s="212"/>
      <c r="C306" s="212"/>
      <c r="D306" s="212"/>
      <c r="E306" s="212"/>
      <c r="F306" s="212"/>
      <c r="G306" s="212"/>
      <c r="H306" s="212"/>
      <c r="I306" s="212"/>
      <c r="J306" s="212"/>
      <c r="K306" s="212"/>
      <c r="L306" s="212"/>
      <c r="M306" s="212"/>
      <c r="N306" s="212"/>
      <c r="O306" s="212"/>
      <c r="P306" s="212"/>
      <c r="Q306" s="212"/>
      <c r="R306" s="212"/>
    </row>
    <row r="307" spans="2:18" s="208" customFormat="1" x14ac:dyDescent="0.2">
      <c r="B307" s="212"/>
      <c r="C307" s="212"/>
      <c r="D307" s="212"/>
      <c r="E307" s="212"/>
      <c r="F307" s="212"/>
      <c r="G307" s="212"/>
      <c r="H307" s="212"/>
      <c r="I307" s="212"/>
      <c r="J307" s="212"/>
      <c r="K307" s="212"/>
      <c r="L307" s="212"/>
      <c r="M307" s="212"/>
      <c r="N307" s="212"/>
      <c r="O307" s="212"/>
      <c r="P307" s="212"/>
      <c r="Q307" s="212"/>
      <c r="R307" s="212"/>
    </row>
    <row r="308" spans="2:18" s="208" customFormat="1" x14ac:dyDescent="0.2">
      <c r="B308" s="212"/>
      <c r="C308" s="212"/>
      <c r="D308" s="212"/>
      <c r="E308" s="212"/>
      <c r="F308" s="212"/>
      <c r="G308" s="212"/>
      <c r="H308" s="212"/>
      <c r="I308" s="212"/>
      <c r="J308" s="212"/>
      <c r="K308" s="212"/>
      <c r="L308" s="212"/>
      <c r="M308" s="212"/>
      <c r="N308" s="212"/>
      <c r="O308" s="212"/>
      <c r="P308" s="212"/>
      <c r="Q308" s="212"/>
      <c r="R308" s="212"/>
    </row>
    <row r="309" spans="2:18" s="208" customFormat="1" x14ac:dyDescent="0.2">
      <c r="B309" s="212"/>
      <c r="C309" s="212"/>
      <c r="D309" s="212"/>
      <c r="E309" s="212"/>
      <c r="F309" s="212"/>
      <c r="G309" s="212"/>
      <c r="H309" s="212"/>
      <c r="I309" s="212"/>
      <c r="J309" s="212"/>
      <c r="K309" s="212"/>
      <c r="L309" s="212"/>
      <c r="M309" s="212"/>
      <c r="N309" s="212"/>
      <c r="O309" s="212"/>
      <c r="P309" s="212"/>
      <c r="Q309" s="212"/>
      <c r="R309" s="212"/>
    </row>
    <row r="310" spans="2:18" s="208" customFormat="1" x14ac:dyDescent="0.2">
      <c r="B310" s="212"/>
      <c r="C310" s="212"/>
      <c r="D310" s="212"/>
      <c r="E310" s="212"/>
      <c r="F310" s="212"/>
      <c r="G310" s="212"/>
      <c r="H310" s="212"/>
      <c r="I310" s="212"/>
      <c r="J310" s="212"/>
      <c r="K310" s="212"/>
      <c r="L310" s="212"/>
      <c r="M310" s="212"/>
      <c r="N310" s="212"/>
      <c r="O310" s="212"/>
      <c r="P310" s="212"/>
      <c r="Q310" s="212"/>
      <c r="R310" s="212"/>
    </row>
    <row r="311" spans="2:18" s="208" customFormat="1" x14ac:dyDescent="0.2">
      <c r="B311" s="212"/>
      <c r="C311" s="212"/>
      <c r="D311" s="212"/>
      <c r="E311" s="212"/>
      <c r="F311" s="212"/>
      <c r="G311" s="212"/>
      <c r="H311" s="212"/>
      <c r="I311" s="212"/>
      <c r="J311" s="212"/>
      <c r="K311" s="212"/>
      <c r="L311" s="212"/>
      <c r="M311" s="212"/>
      <c r="N311" s="212"/>
      <c r="O311" s="212"/>
      <c r="P311" s="212"/>
      <c r="Q311" s="212"/>
      <c r="R311" s="212"/>
    </row>
    <row r="312" spans="2:18" s="208" customFormat="1" x14ac:dyDescent="0.2">
      <c r="B312" s="212"/>
      <c r="C312" s="212"/>
      <c r="D312" s="212"/>
      <c r="E312" s="212"/>
      <c r="F312" s="212"/>
      <c r="G312" s="212"/>
      <c r="H312" s="212"/>
      <c r="I312" s="212"/>
      <c r="J312" s="212"/>
      <c r="K312" s="212"/>
      <c r="L312" s="212"/>
      <c r="M312" s="212"/>
      <c r="N312" s="212"/>
      <c r="O312" s="212"/>
      <c r="P312" s="212"/>
      <c r="Q312" s="212"/>
      <c r="R312" s="212"/>
    </row>
    <row r="313" spans="2:18" s="208" customFormat="1" x14ac:dyDescent="0.2">
      <c r="B313" s="212"/>
      <c r="C313" s="212"/>
      <c r="D313" s="212"/>
      <c r="E313" s="212"/>
      <c r="F313" s="212"/>
      <c r="G313" s="212"/>
      <c r="H313" s="212"/>
      <c r="I313" s="212"/>
      <c r="J313" s="212"/>
      <c r="K313" s="212"/>
      <c r="L313" s="212"/>
      <c r="M313" s="212"/>
      <c r="N313" s="212"/>
      <c r="O313" s="212"/>
      <c r="P313" s="212"/>
      <c r="Q313" s="212"/>
      <c r="R313" s="212"/>
    </row>
    <row r="314" spans="2:18" s="208" customFormat="1" x14ac:dyDescent="0.2">
      <c r="B314" s="212"/>
      <c r="C314" s="212"/>
      <c r="D314" s="212"/>
      <c r="E314" s="212"/>
      <c r="F314" s="212"/>
      <c r="G314" s="212"/>
      <c r="H314" s="212"/>
      <c r="I314" s="212"/>
      <c r="J314" s="212"/>
      <c r="K314" s="212"/>
      <c r="L314" s="212"/>
      <c r="M314" s="212"/>
      <c r="N314" s="212"/>
      <c r="O314" s="212"/>
      <c r="P314" s="212"/>
      <c r="Q314" s="212"/>
      <c r="R314" s="212"/>
    </row>
    <row r="315" spans="2:18" s="208" customFormat="1" x14ac:dyDescent="0.2">
      <c r="B315" s="212"/>
      <c r="C315" s="212"/>
      <c r="D315" s="212"/>
      <c r="E315" s="212"/>
      <c r="F315" s="212"/>
      <c r="G315" s="212"/>
      <c r="H315" s="212"/>
      <c r="I315" s="212"/>
      <c r="J315" s="212"/>
      <c r="K315" s="212"/>
      <c r="L315" s="212"/>
      <c r="M315" s="212"/>
      <c r="N315" s="212"/>
      <c r="O315" s="212"/>
      <c r="P315" s="212"/>
      <c r="Q315" s="212"/>
      <c r="R315" s="212"/>
    </row>
    <row r="316" spans="2:18" s="208" customFormat="1" x14ac:dyDescent="0.2">
      <c r="B316" s="212"/>
      <c r="C316" s="212"/>
      <c r="D316" s="212"/>
      <c r="E316" s="212"/>
      <c r="F316" s="212"/>
      <c r="G316" s="212"/>
      <c r="H316" s="212"/>
      <c r="I316" s="212"/>
      <c r="J316" s="212"/>
      <c r="K316" s="212"/>
      <c r="L316" s="212"/>
      <c r="M316" s="212"/>
      <c r="N316" s="212"/>
      <c r="O316" s="212"/>
      <c r="P316" s="212"/>
      <c r="Q316" s="212"/>
      <c r="R316" s="212"/>
    </row>
    <row r="317" spans="2:18" s="208" customFormat="1" x14ac:dyDescent="0.2">
      <c r="B317" s="212"/>
      <c r="C317" s="212"/>
      <c r="D317" s="212"/>
      <c r="E317" s="212"/>
      <c r="F317" s="212"/>
      <c r="G317" s="212"/>
      <c r="H317" s="212"/>
      <c r="I317" s="212"/>
      <c r="J317" s="212"/>
      <c r="K317" s="212"/>
      <c r="L317" s="212"/>
      <c r="M317" s="212"/>
      <c r="N317" s="212"/>
      <c r="O317" s="212"/>
      <c r="P317" s="212"/>
      <c r="Q317" s="212"/>
      <c r="R317" s="212"/>
    </row>
    <row r="318" spans="2:18" s="208" customFormat="1" x14ac:dyDescent="0.2">
      <c r="B318" s="212"/>
      <c r="C318" s="212"/>
      <c r="D318" s="212"/>
      <c r="E318" s="212"/>
      <c r="F318" s="212"/>
      <c r="G318" s="212"/>
      <c r="H318" s="212"/>
      <c r="I318" s="212"/>
      <c r="J318" s="212"/>
      <c r="K318" s="212"/>
      <c r="L318" s="212"/>
      <c r="M318" s="212"/>
      <c r="N318" s="212"/>
      <c r="O318" s="212"/>
      <c r="P318" s="212"/>
      <c r="Q318" s="212"/>
      <c r="R318" s="212"/>
    </row>
    <row r="319" spans="2:18" s="208" customFormat="1" x14ac:dyDescent="0.2">
      <c r="B319" s="212"/>
      <c r="C319" s="212"/>
      <c r="D319" s="212"/>
      <c r="E319" s="212"/>
      <c r="F319" s="212"/>
      <c r="G319" s="212"/>
      <c r="H319" s="212"/>
      <c r="I319" s="212"/>
      <c r="J319" s="212"/>
      <c r="K319" s="212"/>
      <c r="L319" s="212"/>
      <c r="M319" s="212"/>
      <c r="N319" s="212"/>
      <c r="O319" s="212"/>
      <c r="P319" s="212"/>
      <c r="Q319" s="212"/>
      <c r="R319" s="212"/>
    </row>
    <row r="320" spans="2:18" s="208" customFormat="1" x14ac:dyDescent="0.2">
      <c r="B320" s="212"/>
      <c r="C320" s="212"/>
      <c r="D320" s="212"/>
      <c r="E320" s="212"/>
      <c r="F320" s="212"/>
      <c r="G320" s="212"/>
      <c r="H320" s="212"/>
      <c r="I320" s="212"/>
      <c r="J320" s="212"/>
      <c r="K320" s="212"/>
      <c r="L320" s="212"/>
      <c r="M320" s="212"/>
      <c r="N320" s="212"/>
      <c r="O320" s="212"/>
      <c r="P320" s="212"/>
      <c r="Q320" s="212"/>
      <c r="R320" s="212"/>
    </row>
    <row r="321" spans="2:18" s="208" customFormat="1" x14ac:dyDescent="0.2">
      <c r="B321" s="212"/>
      <c r="C321" s="212"/>
      <c r="D321" s="212"/>
      <c r="E321" s="212"/>
      <c r="F321" s="212"/>
      <c r="G321" s="212"/>
      <c r="H321" s="212"/>
      <c r="I321" s="212"/>
      <c r="J321" s="212"/>
      <c r="K321" s="212"/>
      <c r="L321" s="212"/>
      <c r="M321" s="212"/>
      <c r="N321" s="212"/>
      <c r="O321" s="212"/>
      <c r="P321" s="212"/>
      <c r="Q321" s="212"/>
      <c r="R321" s="212"/>
    </row>
    <row r="322" spans="2:18" s="208" customFormat="1" x14ac:dyDescent="0.2">
      <c r="B322" s="212"/>
      <c r="C322" s="212"/>
      <c r="D322" s="212"/>
      <c r="E322" s="212"/>
      <c r="F322" s="212"/>
      <c r="G322" s="212"/>
      <c r="H322" s="212"/>
      <c r="I322" s="212"/>
      <c r="J322" s="212"/>
      <c r="K322" s="212"/>
      <c r="L322" s="212"/>
      <c r="M322" s="212"/>
      <c r="N322" s="212"/>
      <c r="O322" s="212"/>
      <c r="P322" s="212"/>
      <c r="Q322" s="212"/>
      <c r="R322" s="212"/>
    </row>
    <row r="323" spans="2:18" s="208" customFormat="1" x14ac:dyDescent="0.2">
      <c r="B323" s="212"/>
      <c r="C323" s="212"/>
      <c r="D323" s="212"/>
      <c r="E323" s="212"/>
      <c r="F323" s="212"/>
      <c r="G323" s="212"/>
      <c r="H323" s="212"/>
      <c r="I323" s="212"/>
      <c r="J323" s="212"/>
      <c r="K323" s="212"/>
      <c r="L323" s="212"/>
      <c r="M323" s="212"/>
      <c r="N323" s="212"/>
      <c r="O323" s="212"/>
      <c r="P323" s="212"/>
      <c r="Q323" s="212"/>
      <c r="R323" s="212"/>
    </row>
    <row r="324" spans="2:18" s="208" customFormat="1" x14ac:dyDescent="0.2">
      <c r="B324" s="212"/>
      <c r="C324" s="212"/>
      <c r="D324" s="212"/>
      <c r="E324" s="212"/>
      <c r="F324" s="212"/>
      <c r="G324" s="212"/>
      <c r="H324" s="212"/>
      <c r="I324" s="212"/>
      <c r="J324" s="212"/>
      <c r="K324" s="212"/>
      <c r="L324" s="212"/>
      <c r="M324" s="212"/>
      <c r="N324" s="212"/>
      <c r="O324" s="212"/>
      <c r="P324" s="212"/>
      <c r="Q324" s="212"/>
      <c r="R324" s="212"/>
    </row>
    <row r="325" spans="2:18" s="208" customFormat="1" x14ac:dyDescent="0.2">
      <c r="B325" s="212"/>
      <c r="C325" s="212"/>
      <c r="D325" s="212"/>
      <c r="E325" s="212"/>
      <c r="F325" s="212"/>
      <c r="G325" s="212"/>
      <c r="H325" s="212"/>
      <c r="I325" s="212"/>
      <c r="J325" s="212"/>
      <c r="K325" s="212"/>
      <c r="L325" s="212"/>
      <c r="M325" s="212"/>
      <c r="N325" s="212"/>
      <c r="O325" s="212"/>
      <c r="P325" s="212"/>
      <c r="Q325" s="212"/>
      <c r="R325" s="212"/>
    </row>
    <row r="326" spans="2:18" s="208" customFormat="1" x14ac:dyDescent="0.2">
      <c r="B326" s="212"/>
      <c r="C326" s="212"/>
      <c r="D326" s="212"/>
      <c r="E326" s="212"/>
      <c r="F326" s="212"/>
      <c r="G326" s="212"/>
      <c r="H326" s="212"/>
      <c r="I326" s="212"/>
      <c r="J326" s="212"/>
      <c r="K326" s="212"/>
      <c r="L326" s="212"/>
      <c r="M326" s="212"/>
      <c r="N326" s="212"/>
      <c r="O326" s="212"/>
      <c r="P326" s="212"/>
      <c r="Q326" s="212"/>
      <c r="R326" s="212"/>
    </row>
    <row r="327" spans="2:18" s="208" customFormat="1" x14ac:dyDescent="0.2">
      <c r="B327" s="212"/>
      <c r="C327" s="212"/>
      <c r="D327" s="212"/>
      <c r="E327" s="212"/>
      <c r="F327" s="212"/>
      <c r="G327" s="212"/>
      <c r="H327" s="212"/>
      <c r="I327" s="212"/>
      <c r="J327" s="212"/>
      <c r="K327" s="212"/>
      <c r="L327" s="212"/>
      <c r="M327" s="212"/>
      <c r="N327" s="212"/>
      <c r="O327" s="212"/>
      <c r="P327" s="212"/>
      <c r="Q327" s="212"/>
      <c r="R327" s="212"/>
    </row>
    <row r="328" spans="2:18" s="208" customFormat="1" x14ac:dyDescent="0.2">
      <c r="B328" s="212"/>
      <c r="C328" s="212"/>
      <c r="D328" s="212"/>
      <c r="E328" s="212"/>
      <c r="F328" s="212"/>
      <c r="G328" s="212"/>
      <c r="H328" s="212"/>
      <c r="I328" s="212"/>
      <c r="J328" s="212"/>
      <c r="K328" s="212"/>
      <c r="L328" s="212"/>
      <c r="M328" s="212"/>
      <c r="N328" s="212"/>
      <c r="O328" s="212"/>
      <c r="P328" s="212"/>
      <c r="Q328" s="212"/>
      <c r="R328" s="212"/>
    </row>
    <row r="329" spans="2:18" s="208" customFormat="1" x14ac:dyDescent="0.2">
      <c r="B329" s="212"/>
      <c r="C329" s="212"/>
      <c r="D329" s="212"/>
      <c r="E329" s="212"/>
      <c r="F329" s="212"/>
      <c r="G329" s="212"/>
      <c r="H329" s="212"/>
      <c r="I329" s="212"/>
      <c r="J329" s="212"/>
      <c r="K329" s="212"/>
      <c r="L329" s="212"/>
      <c r="M329" s="212"/>
      <c r="N329" s="212"/>
      <c r="O329" s="212"/>
      <c r="P329" s="212"/>
      <c r="Q329" s="212"/>
      <c r="R329" s="212"/>
    </row>
    <row r="330" spans="2:18" x14ac:dyDescent="0.2">
      <c r="B330" s="387"/>
      <c r="C330" s="387"/>
      <c r="D330" s="387"/>
      <c r="E330" s="387"/>
      <c r="F330" s="387"/>
      <c r="G330" s="387"/>
      <c r="H330" s="387"/>
      <c r="I330" s="387"/>
      <c r="J330" s="387"/>
      <c r="K330" s="387"/>
      <c r="L330" s="387"/>
      <c r="M330" s="387"/>
      <c r="N330" s="387"/>
      <c r="O330" s="387"/>
      <c r="P330" s="387"/>
      <c r="Q330" s="212"/>
      <c r="R330" s="212"/>
    </row>
    <row r="331" spans="2:18" x14ac:dyDescent="0.2">
      <c r="B331" s="387"/>
      <c r="C331" s="387"/>
      <c r="D331" s="387"/>
      <c r="E331" s="387"/>
      <c r="F331" s="387"/>
      <c r="G331" s="387"/>
      <c r="H331" s="387"/>
      <c r="I331" s="387"/>
      <c r="J331" s="387"/>
      <c r="K331" s="387"/>
      <c r="L331" s="387"/>
      <c r="M331" s="387"/>
      <c r="N331" s="387"/>
      <c r="O331" s="387"/>
      <c r="P331" s="387"/>
      <c r="Q331" s="212"/>
      <c r="R331" s="212"/>
    </row>
    <row r="332" spans="2:18" x14ac:dyDescent="0.2">
      <c r="B332" s="387"/>
      <c r="C332" s="387"/>
      <c r="D332" s="387"/>
      <c r="E332" s="387"/>
      <c r="F332" s="387"/>
      <c r="G332" s="387"/>
      <c r="H332" s="387"/>
      <c r="I332" s="387"/>
      <c r="J332" s="387"/>
      <c r="K332" s="387"/>
      <c r="L332" s="387"/>
      <c r="M332" s="387"/>
      <c r="N332" s="387"/>
      <c r="O332" s="387"/>
      <c r="P332" s="387"/>
      <c r="Q332" s="212"/>
      <c r="R332" s="212"/>
    </row>
    <row r="333" spans="2:18" x14ac:dyDescent="0.2">
      <c r="B333" s="387"/>
      <c r="C333" s="387"/>
      <c r="D333" s="387"/>
      <c r="E333" s="387"/>
      <c r="F333" s="387"/>
      <c r="G333" s="387"/>
      <c r="H333" s="387"/>
      <c r="I333" s="387"/>
      <c r="J333" s="387"/>
      <c r="K333" s="387"/>
      <c r="L333" s="387"/>
      <c r="M333" s="387"/>
      <c r="N333" s="387"/>
      <c r="O333" s="387"/>
      <c r="P333" s="387"/>
      <c r="Q333" s="212"/>
      <c r="R333" s="212"/>
    </row>
    <row r="334" spans="2:18" x14ac:dyDescent="0.2">
      <c r="B334" s="387"/>
      <c r="C334" s="387"/>
      <c r="D334" s="387"/>
      <c r="E334" s="387"/>
      <c r="F334" s="387"/>
      <c r="G334" s="387"/>
      <c r="H334" s="387"/>
      <c r="I334" s="387"/>
      <c r="J334" s="387"/>
      <c r="K334" s="387"/>
      <c r="L334" s="387"/>
      <c r="M334" s="387"/>
      <c r="N334" s="387"/>
      <c r="O334" s="387"/>
      <c r="P334" s="387"/>
      <c r="Q334" s="212"/>
      <c r="R334" s="212"/>
    </row>
    <row r="335" spans="2:18" x14ac:dyDescent="0.2">
      <c r="B335" s="387"/>
      <c r="C335" s="387"/>
      <c r="D335" s="387"/>
      <c r="E335" s="387"/>
      <c r="F335" s="387"/>
      <c r="G335" s="387"/>
      <c r="H335" s="387"/>
      <c r="I335" s="387"/>
      <c r="J335" s="387"/>
      <c r="K335" s="387"/>
      <c r="L335" s="387"/>
      <c r="M335" s="387"/>
      <c r="N335" s="387"/>
      <c r="O335" s="387"/>
      <c r="P335" s="387"/>
      <c r="Q335" s="212"/>
      <c r="R335" s="212"/>
    </row>
    <row r="336" spans="2:18" x14ac:dyDescent="0.2">
      <c r="B336" s="387"/>
      <c r="C336" s="387"/>
      <c r="D336" s="387"/>
      <c r="E336" s="387"/>
      <c r="F336" s="387"/>
      <c r="G336" s="387"/>
      <c r="H336" s="387"/>
      <c r="I336" s="387"/>
      <c r="J336" s="387"/>
      <c r="K336" s="387"/>
      <c r="L336" s="387"/>
      <c r="M336" s="387"/>
      <c r="N336" s="387"/>
      <c r="O336" s="387"/>
      <c r="P336" s="387"/>
      <c r="Q336" s="212"/>
      <c r="R336" s="212"/>
    </row>
    <row r="337" spans="2:18" x14ac:dyDescent="0.2">
      <c r="B337" s="387"/>
      <c r="C337" s="387"/>
      <c r="D337" s="387"/>
      <c r="E337" s="387"/>
      <c r="F337" s="387"/>
      <c r="G337" s="387"/>
      <c r="H337" s="387"/>
      <c r="I337" s="387"/>
      <c r="J337" s="387"/>
      <c r="K337" s="387"/>
      <c r="L337" s="387"/>
      <c r="M337" s="387"/>
      <c r="N337" s="387"/>
      <c r="O337" s="387"/>
      <c r="P337" s="387"/>
      <c r="Q337" s="212"/>
      <c r="R337" s="212"/>
    </row>
    <row r="338" spans="2:18" x14ac:dyDescent="0.2">
      <c r="B338" s="387"/>
      <c r="C338" s="387"/>
      <c r="D338" s="387"/>
      <c r="E338" s="387"/>
      <c r="F338" s="387"/>
      <c r="G338" s="387"/>
      <c r="H338" s="387"/>
      <c r="I338" s="387"/>
      <c r="J338" s="387"/>
      <c r="K338" s="387"/>
      <c r="L338" s="387"/>
      <c r="M338" s="387"/>
      <c r="N338" s="387"/>
      <c r="O338" s="387"/>
      <c r="P338" s="387"/>
      <c r="Q338" s="212"/>
      <c r="R338" s="212"/>
    </row>
    <row r="339" spans="2:18" x14ac:dyDescent="0.2">
      <c r="B339" s="387"/>
      <c r="C339" s="387"/>
      <c r="D339" s="387"/>
      <c r="E339" s="387"/>
      <c r="F339" s="387"/>
      <c r="G339" s="387"/>
      <c r="H339" s="387"/>
      <c r="I339" s="387"/>
      <c r="J339" s="387"/>
      <c r="K339" s="387"/>
      <c r="L339" s="387"/>
      <c r="M339" s="387"/>
      <c r="N339" s="387"/>
      <c r="O339" s="387"/>
      <c r="P339" s="387"/>
      <c r="Q339" s="212"/>
      <c r="R339" s="212"/>
    </row>
  </sheetData>
  <protectedRanges>
    <protectedRange sqref="A40:IV252" name="Range4"/>
    <protectedRange sqref="R1:IV65536" name="Range3"/>
    <protectedRange sqref="C27:N36" name="Range2"/>
    <protectedRange sqref="C13:N22" name="Range1"/>
  </protectedRanges>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tabColor theme="6"/>
  </sheetPr>
  <dimension ref="A1:HZ103"/>
  <sheetViews>
    <sheetView workbookViewId="0">
      <selection activeCell="C63" sqref="C63"/>
    </sheetView>
  </sheetViews>
  <sheetFormatPr defaultRowHeight="12.75" x14ac:dyDescent="0.2"/>
  <cols>
    <col min="1" max="1" width="5.5703125" style="208" customWidth="1"/>
    <col min="2" max="2" width="39.85546875" style="206" customWidth="1"/>
    <col min="3" max="3" width="25.28515625" style="385" customWidth="1"/>
    <col min="4" max="4" width="26.140625" style="206" bestFit="1" customWidth="1"/>
    <col min="5" max="5" width="7.85546875" style="206" customWidth="1"/>
    <col min="6" max="6" width="12.140625" style="207" customWidth="1"/>
    <col min="7" max="7" width="11.42578125" style="207" customWidth="1"/>
    <col min="8" max="8" width="11.28515625" style="207" customWidth="1"/>
    <col min="9" max="9" width="13" style="207" customWidth="1"/>
    <col min="10" max="10" width="10.42578125" style="206" bestFit="1" customWidth="1"/>
    <col min="11" max="11" width="11.5703125" style="206" bestFit="1" customWidth="1"/>
    <col min="12" max="12" width="9.140625" style="208"/>
    <col min="13" max="13" width="16.42578125" style="189" bestFit="1" customWidth="1"/>
    <col min="14" max="14" width="9.140625" style="189"/>
    <col min="15" max="15" width="21.140625" style="189" bestFit="1" customWidth="1"/>
    <col min="16" max="16" width="11.5703125" style="189" bestFit="1" customWidth="1"/>
    <col min="17" max="234" width="9.140625" style="189"/>
  </cols>
  <sheetData>
    <row r="1" spans="2:14" ht="12.75" customHeight="1" x14ac:dyDescent="0.2">
      <c r="B1" s="208"/>
      <c r="C1" s="322"/>
      <c r="D1" s="208"/>
      <c r="E1" s="208"/>
      <c r="F1" s="264"/>
      <c r="G1" s="264"/>
      <c r="H1" s="264"/>
      <c r="I1" s="264"/>
      <c r="J1" s="208"/>
      <c r="K1" s="208"/>
    </row>
    <row r="2" spans="2:14" ht="12.75" customHeight="1" x14ac:dyDescent="0.2">
      <c r="B2" s="265" t="s">
        <v>423</v>
      </c>
      <c r="C2" s="322"/>
      <c r="D2" s="208"/>
      <c r="E2" s="208"/>
      <c r="F2" s="264"/>
      <c r="G2" s="264"/>
      <c r="H2" s="264"/>
      <c r="I2" s="264"/>
      <c r="J2" s="208"/>
      <c r="K2" s="208"/>
    </row>
    <row r="3" spans="2:14" ht="12.75" customHeight="1" thickBot="1" x14ac:dyDescent="0.25">
      <c r="B3" s="208"/>
      <c r="C3" s="322"/>
      <c r="D3" s="208"/>
      <c r="E3" s="208"/>
      <c r="F3" s="264"/>
      <c r="G3" s="264"/>
      <c r="H3" s="264"/>
      <c r="I3" s="264"/>
      <c r="J3" s="208"/>
      <c r="K3" s="208"/>
    </row>
    <row r="4" spans="2:14" ht="12.75" customHeight="1" x14ac:dyDescent="0.2">
      <c r="B4" s="241" t="s">
        <v>415</v>
      </c>
      <c r="C4" s="325"/>
      <c r="D4" s="242"/>
      <c r="E4" s="242"/>
      <c r="F4" s="243"/>
      <c r="G4" s="243"/>
      <c r="H4" s="243"/>
      <c r="I4" s="243"/>
      <c r="J4" s="242"/>
      <c r="K4" s="244"/>
    </row>
    <row r="5" spans="2:14" ht="12.75" customHeight="1" x14ac:dyDescent="0.2">
      <c r="B5" s="245" t="s">
        <v>437</v>
      </c>
      <c r="C5" s="326"/>
      <c r="D5" s="246"/>
      <c r="E5" s="246"/>
      <c r="F5" s="236"/>
      <c r="G5" s="236"/>
      <c r="H5" s="236"/>
      <c r="I5" s="236"/>
      <c r="J5" s="246"/>
      <c r="K5" s="247"/>
    </row>
    <row r="6" spans="2:14" ht="12.75" customHeight="1" x14ac:dyDescent="0.2">
      <c r="B6" s="245" t="s">
        <v>417</v>
      </c>
      <c r="C6" s="326"/>
      <c r="D6" s="246"/>
      <c r="E6" s="246"/>
      <c r="F6" s="248"/>
      <c r="G6" s="248"/>
      <c r="H6" s="248"/>
      <c r="I6" s="248"/>
      <c r="J6" s="246"/>
      <c r="K6" s="247"/>
    </row>
    <row r="7" spans="2:14" ht="12.75" customHeight="1" thickBot="1" x14ac:dyDescent="0.25">
      <c r="B7" s="249"/>
      <c r="C7" s="327"/>
      <c r="D7" s="250"/>
      <c r="E7" s="250"/>
      <c r="F7" s="251"/>
      <c r="G7" s="251"/>
      <c r="H7" s="251"/>
      <c r="I7" s="251"/>
      <c r="J7" s="250"/>
      <c r="K7" s="252"/>
    </row>
    <row r="8" spans="2:14" ht="12.75" customHeight="1" thickBot="1" x14ac:dyDescent="0.25">
      <c r="B8" s="208"/>
      <c r="C8" s="322"/>
      <c r="D8" s="208"/>
      <c r="E8" s="208"/>
      <c r="F8" s="264"/>
      <c r="G8" s="264"/>
      <c r="H8" s="264"/>
      <c r="I8" s="264"/>
      <c r="J8" s="208"/>
      <c r="K8" s="208"/>
    </row>
    <row r="9" spans="2:14" ht="12.75" customHeight="1" x14ac:dyDescent="0.2">
      <c r="B9" s="266"/>
      <c r="C9" s="370"/>
      <c r="D9" s="267"/>
      <c r="E9" s="267"/>
      <c r="F9" s="268"/>
      <c r="G9" s="267"/>
      <c r="H9" s="267"/>
      <c r="I9" s="267"/>
      <c r="J9" s="269"/>
      <c r="K9" s="270"/>
      <c r="L9" s="292"/>
      <c r="M9" s="293"/>
      <c r="N9" s="293"/>
    </row>
    <row r="10" spans="2:14" ht="12.75" customHeight="1" x14ac:dyDescent="0.2">
      <c r="B10" s="253" t="s">
        <v>424</v>
      </c>
      <c r="C10" s="405">
        <f>'E-peil'!D24</f>
        <v>44</v>
      </c>
      <c r="D10" s="212"/>
      <c r="E10" s="212"/>
      <c r="F10" s="213"/>
      <c r="G10" s="213"/>
      <c r="H10" s="213"/>
      <c r="I10" s="213"/>
      <c r="J10" s="212"/>
      <c r="K10" s="214"/>
    </row>
    <row r="11" spans="2:14" ht="12.75" customHeight="1" x14ac:dyDescent="0.2">
      <c r="B11" s="215"/>
      <c r="C11" s="323"/>
      <c r="D11" s="212"/>
      <c r="E11" s="212"/>
      <c r="F11" s="213"/>
      <c r="G11" s="213"/>
      <c r="H11" s="213"/>
      <c r="I11" s="213"/>
      <c r="J11" s="212"/>
      <c r="K11" s="214"/>
    </row>
    <row r="12" spans="2:14" ht="12.75" customHeight="1" x14ac:dyDescent="0.2">
      <c r="B12" s="233" t="s">
        <v>441</v>
      </c>
      <c r="C12" s="406"/>
      <c r="D12" s="228"/>
      <c r="E12" s="228"/>
      <c r="F12" s="211"/>
      <c r="G12" s="211"/>
      <c r="H12" s="211"/>
      <c r="I12" s="211"/>
      <c r="J12" s="228"/>
      <c r="K12" s="230"/>
    </row>
    <row r="13" spans="2:14" ht="12.75" customHeight="1" x14ac:dyDescent="0.2">
      <c r="B13" s="223"/>
      <c r="C13" s="323"/>
      <c r="D13" s="212"/>
      <c r="E13" s="212"/>
      <c r="F13" s="209"/>
      <c r="G13" s="209"/>
      <c r="H13" s="209"/>
      <c r="I13" s="209"/>
      <c r="J13" s="212"/>
      <c r="K13" s="214"/>
    </row>
    <row r="14" spans="2:14" ht="12.75" customHeight="1" x14ac:dyDescent="0.2">
      <c r="B14" s="223" t="s">
        <v>442</v>
      </c>
      <c r="C14" s="323">
        <v>2177.86</v>
      </c>
      <c r="D14" s="212" t="s">
        <v>65</v>
      </c>
      <c r="E14" s="212"/>
      <c r="F14" s="209"/>
      <c r="G14" s="209"/>
      <c r="H14" s="209"/>
      <c r="I14" s="209"/>
      <c r="J14" s="212"/>
      <c r="K14" s="214"/>
    </row>
    <row r="15" spans="2:14" ht="12.75" customHeight="1" x14ac:dyDescent="0.2">
      <c r="B15" s="223" t="s">
        <v>271</v>
      </c>
      <c r="C15" s="323">
        <v>4904.8500000000004</v>
      </c>
      <c r="D15" s="212" t="s">
        <v>108</v>
      </c>
      <c r="E15" s="212"/>
      <c r="F15" s="209"/>
      <c r="G15" s="209"/>
      <c r="H15" s="209"/>
      <c r="I15" s="209"/>
      <c r="J15" s="212"/>
      <c r="K15" s="214"/>
    </row>
    <row r="16" spans="2:14" ht="12.75" customHeight="1" x14ac:dyDescent="0.2">
      <c r="B16" s="223" t="s">
        <v>267</v>
      </c>
      <c r="C16" s="323">
        <v>16</v>
      </c>
      <c r="D16" s="212"/>
      <c r="E16" s="212"/>
      <c r="F16" s="209"/>
      <c r="G16" s="209"/>
      <c r="H16" s="209"/>
      <c r="I16" s="209"/>
      <c r="J16" s="212"/>
      <c r="K16" s="214"/>
    </row>
    <row r="17" spans="2:16" ht="12.75" customHeight="1" x14ac:dyDescent="0.2">
      <c r="B17" s="223" t="s">
        <v>390</v>
      </c>
      <c r="C17" s="407">
        <f>SUM(C18:C21)</f>
        <v>1192.2</v>
      </c>
      <c r="D17" s="212" t="s">
        <v>65</v>
      </c>
      <c r="E17" s="212"/>
      <c r="F17" s="209"/>
      <c r="G17" s="209"/>
      <c r="H17" s="209"/>
      <c r="I17" s="209"/>
      <c r="J17" s="212"/>
      <c r="K17" s="214"/>
    </row>
    <row r="18" spans="2:16" x14ac:dyDescent="0.2">
      <c r="B18" s="234" t="s">
        <v>496</v>
      </c>
      <c r="C18" s="407">
        <v>441.6</v>
      </c>
      <c r="D18" s="212" t="s">
        <v>65</v>
      </c>
      <c r="E18" s="212"/>
      <c r="F18" s="209"/>
      <c r="G18" s="209"/>
      <c r="H18" s="209"/>
      <c r="I18" s="209"/>
      <c r="J18" s="212"/>
      <c r="K18" s="214"/>
    </row>
    <row r="19" spans="2:16" x14ac:dyDescent="0.2">
      <c r="B19" s="234" t="s">
        <v>426</v>
      </c>
      <c r="C19" s="407">
        <v>276.60000000000002</v>
      </c>
      <c r="D19" s="212" t="s">
        <v>65</v>
      </c>
      <c r="E19" s="212"/>
      <c r="F19" s="209"/>
      <c r="G19" s="209"/>
      <c r="H19" s="209"/>
      <c r="I19" s="209"/>
      <c r="J19" s="212"/>
      <c r="K19" s="214"/>
    </row>
    <row r="20" spans="2:16" x14ac:dyDescent="0.2">
      <c r="B20" s="234" t="s">
        <v>497</v>
      </c>
      <c r="C20" s="407">
        <v>0</v>
      </c>
      <c r="D20" s="212" t="s">
        <v>65</v>
      </c>
      <c r="E20" s="212"/>
      <c r="F20" s="209"/>
      <c r="G20" s="209"/>
      <c r="H20" s="209"/>
      <c r="I20" s="209"/>
      <c r="J20" s="212"/>
      <c r="K20" s="214"/>
    </row>
    <row r="21" spans="2:16" x14ac:dyDescent="0.2">
      <c r="B21" s="234" t="s">
        <v>427</v>
      </c>
      <c r="C21" s="407">
        <v>474</v>
      </c>
      <c r="D21" s="212" t="s">
        <v>65</v>
      </c>
      <c r="E21" s="212"/>
      <c r="F21" s="209"/>
      <c r="G21" s="209"/>
      <c r="H21" s="209"/>
      <c r="I21" s="209"/>
      <c r="J21" s="212"/>
      <c r="K21" s="214"/>
    </row>
    <row r="22" spans="2:16" ht="12.75" customHeight="1" x14ac:dyDescent="0.2">
      <c r="B22" s="215"/>
      <c r="C22" s="323"/>
      <c r="D22" s="212"/>
      <c r="E22" s="212"/>
      <c r="F22" s="213"/>
      <c r="G22" s="213"/>
      <c r="H22" s="213"/>
      <c r="I22" s="213"/>
      <c r="J22" s="212"/>
      <c r="K22" s="214"/>
    </row>
    <row r="23" spans="2:16" ht="12.75" customHeight="1" x14ac:dyDescent="0.2">
      <c r="B23" s="232" t="s">
        <v>448</v>
      </c>
      <c r="C23" s="406"/>
      <c r="D23" s="228"/>
      <c r="E23" s="228"/>
      <c r="F23" s="210"/>
      <c r="G23" s="211"/>
      <c r="H23" s="211"/>
      <c r="I23" s="211"/>
      <c r="J23" s="228"/>
      <c r="K23" s="229"/>
    </row>
    <row r="24" spans="2:16" ht="12.75" customHeight="1" x14ac:dyDescent="0.2">
      <c r="B24" s="223" t="s">
        <v>439</v>
      </c>
      <c r="C24" s="323">
        <v>28</v>
      </c>
      <c r="D24" s="212"/>
      <c r="E24" s="212"/>
      <c r="F24" s="231"/>
      <c r="G24" s="231"/>
      <c r="H24" s="231"/>
      <c r="I24" s="231"/>
      <c r="J24" s="212"/>
      <c r="K24" s="214"/>
      <c r="M24" s="294"/>
    </row>
    <row r="25" spans="2:16" ht="12.75" customHeight="1" x14ac:dyDescent="0.2">
      <c r="B25" s="215" t="s">
        <v>396</v>
      </c>
      <c r="C25" s="408">
        <v>1.5</v>
      </c>
      <c r="D25" s="212" t="s">
        <v>400</v>
      </c>
      <c r="E25" s="212"/>
      <c r="F25" s="213"/>
      <c r="G25" s="213"/>
      <c r="H25" s="213"/>
      <c r="I25" s="213"/>
      <c r="J25" s="212"/>
      <c r="K25" s="214"/>
      <c r="M25" s="294"/>
      <c r="N25" s="194"/>
    </row>
    <row r="26" spans="2:16" ht="12.75" customHeight="1" x14ac:dyDescent="0.2">
      <c r="B26" s="215" t="s">
        <v>447</v>
      </c>
      <c r="C26" s="408"/>
      <c r="D26" s="212" t="s">
        <v>61</v>
      </c>
      <c r="E26" s="212"/>
      <c r="F26" s="213"/>
      <c r="G26" s="213"/>
      <c r="H26" s="213"/>
      <c r="I26" s="213"/>
      <c r="J26" s="212"/>
      <c r="K26" s="214"/>
      <c r="M26" s="294"/>
      <c r="N26" s="194"/>
    </row>
    <row r="27" spans="2:16" ht="12.75" customHeight="1" x14ac:dyDescent="0.2">
      <c r="B27" s="215"/>
      <c r="C27" s="408"/>
      <c r="D27" s="212"/>
      <c r="E27" s="212"/>
      <c r="F27" s="213"/>
      <c r="G27" s="213"/>
      <c r="H27" s="213"/>
      <c r="I27" s="213"/>
      <c r="J27" s="212"/>
      <c r="K27" s="214"/>
      <c r="M27" s="294"/>
      <c r="N27" s="194"/>
    </row>
    <row r="28" spans="2:16" ht="12.75" customHeight="1" x14ac:dyDescent="0.2">
      <c r="B28" s="232" t="s">
        <v>449</v>
      </c>
      <c r="C28" s="409"/>
      <c r="D28" s="228"/>
      <c r="E28" s="228"/>
      <c r="F28" s="291"/>
      <c r="G28" s="291"/>
      <c r="H28" s="291"/>
      <c r="I28" s="291"/>
      <c r="J28" s="228"/>
      <c r="K28" s="230"/>
      <c r="O28" s="194"/>
    </row>
    <row r="29" spans="2:16" ht="12.75" customHeight="1" x14ac:dyDescent="0.2">
      <c r="B29" s="216" t="s">
        <v>397</v>
      </c>
      <c r="C29" s="408"/>
      <c r="D29" s="212"/>
      <c r="E29" s="212"/>
      <c r="F29" s="213"/>
      <c r="G29" s="213"/>
      <c r="H29" s="213"/>
      <c r="I29" s="213"/>
      <c r="J29" s="212"/>
      <c r="K29" s="214"/>
      <c r="N29" s="194"/>
      <c r="O29" s="194"/>
      <c r="P29" s="194"/>
    </row>
    <row r="30" spans="2:16" ht="12.75" customHeight="1" x14ac:dyDescent="0.2">
      <c r="B30" s="219" t="s">
        <v>418</v>
      </c>
      <c r="C30" s="410">
        <v>4.62</v>
      </c>
      <c r="D30" s="212"/>
      <c r="E30" s="212"/>
      <c r="F30" s="217"/>
      <c r="G30" s="218"/>
      <c r="H30" s="218"/>
      <c r="I30" s="218"/>
      <c r="J30" s="212"/>
      <c r="K30" s="214"/>
      <c r="N30" s="194"/>
    </row>
    <row r="31" spans="2:16" ht="12.75" customHeight="1" x14ac:dyDescent="0.2">
      <c r="B31" s="219" t="s">
        <v>419</v>
      </c>
      <c r="C31" s="410">
        <v>0.84</v>
      </c>
      <c r="D31" s="212"/>
      <c r="E31" s="212"/>
      <c r="F31" s="217"/>
      <c r="G31" s="218"/>
      <c r="H31" s="218"/>
      <c r="I31" s="218"/>
      <c r="J31" s="212"/>
      <c r="K31" s="214"/>
      <c r="N31" s="194"/>
    </row>
    <row r="32" spans="2:16" ht="12.75" customHeight="1" x14ac:dyDescent="0.2">
      <c r="B32" s="219" t="s">
        <v>412</v>
      </c>
      <c r="C32" s="408">
        <v>2.5</v>
      </c>
      <c r="D32" s="212"/>
      <c r="E32" s="212"/>
      <c r="F32" s="209"/>
      <c r="G32" s="213"/>
      <c r="H32" s="213"/>
      <c r="I32" s="213"/>
      <c r="J32" s="212"/>
      <c r="K32" s="214"/>
      <c r="N32" s="194"/>
    </row>
    <row r="33" spans="2:14" ht="12.75" customHeight="1" x14ac:dyDescent="0.2">
      <c r="B33" s="219" t="s">
        <v>406</v>
      </c>
      <c r="C33" s="408">
        <v>0.5</v>
      </c>
      <c r="D33" s="212"/>
      <c r="E33" s="212"/>
      <c r="F33" s="209"/>
      <c r="G33" s="213"/>
      <c r="H33" s="213"/>
      <c r="I33" s="213"/>
      <c r="J33" s="212"/>
      <c r="K33" s="214"/>
      <c r="N33" s="194"/>
    </row>
    <row r="34" spans="2:14" ht="12.75" customHeight="1" x14ac:dyDescent="0.2">
      <c r="B34" s="219"/>
      <c r="C34" s="408"/>
      <c r="D34" s="212"/>
      <c r="E34" s="212"/>
      <c r="F34" s="209"/>
      <c r="G34" s="213"/>
      <c r="H34" s="213"/>
      <c r="I34" s="213"/>
      <c r="J34" s="212"/>
      <c r="K34" s="214"/>
      <c r="N34" s="194"/>
    </row>
    <row r="35" spans="2:14" ht="12.75" customHeight="1" x14ac:dyDescent="0.2">
      <c r="B35" s="216" t="s">
        <v>398</v>
      </c>
      <c r="C35" s="408"/>
      <c r="D35" s="212"/>
      <c r="E35" s="212"/>
      <c r="F35" s="213"/>
      <c r="G35" s="213"/>
      <c r="H35" s="213"/>
      <c r="I35" s="213"/>
      <c r="J35" s="212"/>
      <c r="K35" s="214"/>
      <c r="N35" s="194"/>
    </row>
    <row r="36" spans="2:14" ht="12.75" customHeight="1" x14ac:dyDescent="0.2">
      <c r="B36" s="403" t="s">
        <v>489</v>
      </c>
      <c r="C36" s="408"/>
      <c r="D36" s="212"/>
      <c r="E36" s="212"/>
      <c r="F36" s="213"/>
      <c r="G36" s="213"/>
      <c r="H36" s="213"/>
      <c r="I36" s="213"/>
      <c r="J36" s="212"/>
      <c r="K36" s="214"/>
      <c r="N36" s="194"/>
    </row>
    <row r="37" spans="2:14" ht="12.75" customHeight="1" x14ac:dyDescent="0.2">
      <c r="B37" s="215" t="s">
        <v>490</v>
      </c>
      <c r="C37" s="408"/>
      <c r="D37" s="212" t="s">
        <v>279</v>
      </c>
      <c r="E37" s="212"/>
      <c r="F37" s="213"/>
      <c r="G37" s="213"/>
      <c r="H37" s="213"/>
      <c r="I37" s="213"/>
      <c r="J37" s="212"/>
      <c r="K37" s="214"/>
      <c r="N37" s="194"/>
    </row>
    <row r="38" spans="2:14" ht="12.75" customHeight="1" x14ac:dyDescent="0.2">
      <c r="B38" s="404" t="s">
        <v>491</v>
      </c>
      <c r="C38" s="411"/>
      <c r="D38" s="401"/>
      <c r="E38" s="401"/>
      <c r="F38" s="235"/>
      <c r="G38" s="235"/>
      <c r="H38" s="235"/>
      <c r="I38" s="235"/>
      <c r="J38" s="401"/>
      <c r="K38" s="402"/>
      <c r="N38" s="194"/>
    </row>
    <row r="39" spans="2:14" ht="12.75" customHeight="1" x14ac:dyDescent="0.2">
      <c r="B39" s="404" t="s">
        <v>492</v>
      </c>
      <c r="C39" s="411"/>
      <c r="D39" s="401"/>
      <c r="E39" s="401"/>
      <c r="F39" s="235"/>
      <c r="G39" s="235"/>
      <c r="H39" s="235"/>
      <c r="I39" s="235"/>
      <c r="J39" s="401"/>
      <c r="K39" s="402"/>
      <c r="N39" s="194"/>
    </row>
    <row r="40" spans="2:14" ht="12.75" customHeight="1" x14ac:dyDescent="0.2">
      <c r="B40" s="219" t="s">
        <v>493</v>
      </c>
      <c r="C40" s="408">
        <v>0.45</v>
      </c>
      <c r="D40" s="212"/>
      <c r="E40" s="212"/>
      <c r="F40" s="218"/>
      <c r="G40" s="218"/>
      <c r="H40" s="218"/>
      <c r="I40" s="218"/>
      <c r="J40" s="212"/>
      <c r="K40" s="214"/>
      <c r="N40" s="194"/>
    </row>
    <row r="41" spans="2:14" ht="12.75" customHeight="1" x14ac:dyDescent="0.2">
      <c r="B41" s="219" t="s">
        <v>401</v>
      </c>
      <c r="C41" s="408">
        <v>15</v>
      </c>
      <c r="D41" s="212" t="s">
        <v>282</v>
      </c>
      <c r="E41" s="212"/>
      <c r="F41" s="213"/>
      <c r="G41" s="213"/>
      <c r="H41" s="213"/>
      <c r="I41" s="213"/>
      <c r="J41" s="212"/>
      <c r="K41" s="214"/>
    </row>
    <row r="42" spans="2:14" ht="12.75" customHeight="1" x14ac:dyDescent="0.2">
      <c r="B42" s="219" t="s">
        <v>443</v>
      </c>
      <c r="C42" s="408">
        <v>3</v>
      </c>
      <c r="D42" s="212" t="s">
        <v>282</v>
      </c>
      <c r="E42" s="212"/>
      <c r="F42" s="213"/>
      <c r="G42" s="213"/>
      <c r="H42" s="213"/>
      <c r="I42" s="213"/>
      <c r="J42" s="212"/>
      <c r="K42" s="214"/>
    </row>
    <row r="43" spans="2:14" ht="12.75" customHeight="1" x14ac:dyDescent="0.2">
      <c r="B43" s="220" t="s">
        <v>384</v>
      </c>
      <c r="C43" s="408">
        <v>9</v>
      </c>
      <c r="D43" s="212" t="s">
        <v>256</v>
      </c>
      <c r="E43" s="221"/>
      <c r="F43" s="213"/>
      <c r="G43" s="213"/>
      <c r="H43" s="213"/>
      <c r="I43" s="213"/>
      <c r="J43" s="212"/>
      <c r="K43" s="214"/>
    </row>
    <row r="44" spans="2:14" ht="12.75" customHeight="1" x14ac:dyDescent="0.2">
      <c r="B44" s="219" t="s">
        <v>420</v>
      </c>
      <c r="C44" s="408"/>
      <c r="D44" s="212" t="s">
        <v>65</v>
      </c>
      <c r="E44" s="221"/>
      <c r="F44" s="213"/>
      <c r="G44" s="213"/>
      <c r="H44" s="213"/>
      <c r="I44" s="213"/>
      <c r="J44" s="212"/>
      <c r="K44" s="214"/>
    </row>
    <row r="45" spans="2:14" ht="12.75" customHeight="1" x14ac:dyDescent="0.2">
      <c r="B45" s="219" t="s">
        <v>433</v>
      </c>
      <c r="C45" s="408"/>
      <c r="D45" s="212" t="s">
        <v>337</v>
      </c>
      <c r="E45" s="221"/>
      <c r="F45" s="213"/>
      <c r="G45" s="213"/>
      <c r="H45" s="213"/>
      <c r="I45" s="213"/>
      <c r="J45" s="212"/>
      <c r="K45" s="214"/>
    </row>
    <row r="46" spans="2:14" ht="12.75" customHeight="1" x14ac:dyDescent="0.2">
      <c r="B46" s="219" t="s">
        <v>434</v>
      </c>
      <c r="C46" s="408"/>
      <c r="D46" s="212" t="s">
        <v>337</v>
      </c>
      <c r="E46" s="221"/>
      <c r="F46" s="213"/>
      <c r="G46" s="213"/>
      <c r="H46" s="213"/>
      <c r="I46" s="213"/>
      <c r="J46" s="212"/>
      <c r="K46" s="214"/>
    </row>
    <row r="47" spans="2:14" ht="12.75" customHeight="1" x14ac:dyDescent="0.2">
      <c r="B47" s="219"/>
      <c r="C47" s="408"/>
      <c r="D47" s="212"/>
      <c r="E47" s="221"/>
      <c r="F47" s="213"/>
      <c r="G47" s="213"/>
      <c r="H47" s="213"/>
      <c r="I47" s="213"/>
      <c r="J47" s="212"/>
      <c r="K47" s="214"/>
    </row>
    <row r="48" spans="2:14" ht="12.75" customHeight="1" x14ac:dyDescent="0.2">
      <c r="B48" s="216" t="s">
        <v>385</v>
      </c>
      <c r="C48" s="408" t="s">
        <v>249</v>
      </c>
      <c r="D48" s="212"/>
      <c r="E48" s="212"/>
      <c r="F48" s="213"/>
      <c r="G48" s="213"/>
      <c r="H48" s="213"/>
      <c r="I48" s="213"/>
      <c r="J48" s="212"/>
      <c r="K48" s="214"/>
    </row>
    <row r="49" spans="2:23" ht="12.75" customHeight="1" x14ac:dyDescent="0.2">
      <c r="B49" s="219" t="s">
        <v>421</v>
      </c>
      <c r="C49" s="408">
        <v>0.8</v>
      </c>
      <c r="D49" s="212"/>
      <c r="E49" s="212"/>
      <c r="F49" s="213"/>
      <c r="G49" s="213"/>
      <c r="H49" s="213"/>
      <c r="I49" s="213"/>
      <c r="J49" s="212"/>
      <c r="K49" s="214"/>
    </row>
    <row r="50" spans="2:23" ht="12.75" customHeight="1" x14ac:dyDescent="0.2">
      <c r="B50" s="219" t="s">
        <v>392</v>
      </c>
      <c r="C50" s="408">
        <v>0.8</v>
      </c>
      <c r="D50" s="212"/>
      <c r="E50" s="212"/>
      <c r="F50" s="213"/>
      <c r="G50" s="213"/>
      <c r="H50" s="213"/>
      <c r="I50" s="213"/>
      <c r="J50" s="212"/>
      <c r="K50" s="214"/>
    </row>
    <row r="51" spans="2:23" ht="12.75" customHeight="1" x14ac:dyDescent="0.2">
      <c r="B51" s="219" t="s">
        <v>393</v>
      </c>
      <c r="C51" s="411">
        <v>2</v>
      </c>
      <c r="D51" s="212"/>
      <c r="E51" s="212"/>
      <c r="F51" s="213"/>
      <c r="G51" s="213"/>
      <c r="H51" s="213"/>
      <c r="I51" s="213"/>
      <c r="J51" s="212"/>
      <c r="K51" s="214"/>
    </row>
    <row r="52" spans="2:23" ht="12.75" customHeight="1" x14ac:dyDescent="0.2">
      <c r="B52" s="219" t="s">
        <v>425</v>
      </c>
      <c r="C52" s="411">
        <v>0.65</v>
      </c>
      <c r="D52" s="212"/>
      <c r="E52" s="212"/>
      <c r="F52" s="213"/>
      <c r="G52" s="213"/>
      <c r="H52" s="213"/>
      <c r="I52" s="213"/>
      <c r="J52" s="212"/>
      <c r="K52" s="214"/>
    </row>
    <row r="53" spans="2:23" ht="12.75" customHeight="1" x14ac:dyDescent="0.2">
      <c r="B53" s="234" t="s">
        <v>429</v>
      </c>
      <c r="C53" s="412">
        <v>5515</v>
      </c>
      <c r="D53" s="212" t="s">
        <v>69</v>
      </c>
      <c r="E53" s="212"/>
      <c r="F53" s="213"/>
      <c r="G53" s="213"/>
      <c r="H53" s="213"/>
      <c r="I53" s="213"/>
      <c r="J53" s="212"/>
      <c r="K53" s="214"/>
      <c r="N53" s="194"/>
      <c r="U53" s="295"/>
      <c r="V53" s="295"/>
      <c r="W53" s="295"/>
    </row>
    <row r="54" spans="2:23" ht="12.75" customHeight="1" x14ac:dyDescent="0.2">
      <c r="B54" s="234" t="s">
        <v>428</v>
      </c>
      <c r="C54" s="412">
        <v>5600</v>
      </c>
      <c r="D54" s="212" t="s">
        <v>69</v>
      </c>
      <c r="E54" s="212"/>
      <c r="F54" s="213"/>
      <c r="G54" s="213"/>
      <c r="H54" s="213"/>
      <c r="I54" s="213"/>
      <c r="J54" s="212"/>
      <c r="K54" s="214"/>
      <c r="N54" s="194"/>
      <c r="U54" s="295"/>
      <c r="V54" s="295"/>
      <c r="W54" s="295"/>
    </row>
    <row r="55" spans="2:23" ht="12.75" customHeight="1" x14ac:dyDescent="0.2">
      <c r="B55" s="234" t="s">
        <v>402</v>
      </c>
      <c r="C55" s="412">
        <v>3016</v>
      </c>
      <c r="D55" s="212" t="s">
        <v>69</v>
      </c>
      <c r="E55" s="212"/>
      <c r="F55" s="213"/>
      <c r="G55" s="213"/>
      <c r="H55" s="213"/>
      <c r="I55" s="213"/>
      <c r="J55" s="212"/>
      <c r="K55" s="214"/>
      <c r="M55" s="194"/>
      <c r="N55" s="194"/>
      <c r="O55" s="194"/>
      <c r="P55" s="194"/>
      <c r="U55" s="295"/>
      <c r="V55" s="295"/>
      <c r="W55" s="295"/>
    </row>
    <row r="56" spans="2:23" ht="12.75" customHeight="1" x14ac:dyDescent="0.2">
      <c r="B56" s="234" t="s">
        <v>438</v>
      </c>
      <c r="C56" s="412">
        <v>3016</v>
      </c>
      <c r="D56" s="212" t="s">
        <v>69</v>
      </c>
      <c r="E56" s="212"/>
      <c r="F56" s="213"/>
      <c r="G56" s="213"/>
      <c r="H56" s="213"/>
      <c r="I56" s="213"/>
      <c r="J56" s="212"/>
      <c r="K56" s="214"/>
      <c r="M56" s="194"/>
      <c r="N56" s="194"/>
      <c r="O56" s="194"/>
      <c r="P56" s="194"/>
      <c r="U56" s="295"/>
      <c r="V56" s="295"/>
      <c r="W56" s="295"/>
    </row>
    <row r="57" spans="2:23" ht="12.75" customHeight="1" x14ac:dyDescent="0.2">
      <c r="B57" s="234" t="s">
        <v>495</v>
      </c>
      <c r="C57" s="408">
        <v>0.75</v>
      </c>
      <c r="D57" s="212"/>
      <c r="E57" s="212"/>
      <c r="F57" s="213"/>
      <c r="G57" s="213"/>
      <c r="H57" s="213"/>
      <c r="I57" s="213"/>
      <c r="J57" s="212"/>
      <c r="K57" s="214"/>
      <c r="M57" s="194"/>
      <c r="N57" s="194"/>
      <c r="O57" s="194"/>
      <c r="P57" s="194"/>
      <c r="U57" s="295"/>
      <c r="V57" s="295"/>
      <c r="W57" s="295"/>
    </row>
    <row r="58" spans="2:23" ht="12.75" customHeight="1" x14ac:dyDescent="0.2">
      <c r="B58" s="234" t="s">
        <v>407</v>
      </c>
      <c r="C58" s="408">
        <v>1</v>
      </c>
      <c r="D58" s="212"/>
      <c r="E58" s="212"/>
      <c r="F58" s="213"/>
      <c r="G58" s="213"/>
      <c r="H58" s="213"/>
      <c r="I58" s="213"/>
      <c r="J58" s="212"/>
      <c r="K58" s="214"/>
      <c r="M58" s="194"/>
      <c r="N58" s="194"/>
      <c r="O58" s="194"/>
      <c r="P58" s="194"/>
      <c r="U58" s="295"/>
      <c r="V58" s="295"/>
      <c r="W58" s="295"/>
    </row>
    <row r="59" spans="2:23" ht="12.75" customHeight="1" x14ac:dyDescent="0.2">
      <c r="B59" s="234" t="s">
        <v>494</v>
      </c>
      <c r="C59" s="408">
        <v>1</v>
      </c>
      <c r="D59" s="212"/>
      <c r="E59" s="212"/>
      <c r="F59" s="213"/>
      <c r="G59" s="213"/>
      <c r="H59" s="213"/>
      <c r="I59" s="213"/>
      <c r="J59" s="212"/>
      <c r="K59" s="214"/>
      <c r="M59" s="194"/>
      <c r="N59" s="194"/>
      <c r="O59" s="194"/>
      <c r="P59" s="194"/>
      <c r="U59" s="295"/>
      <c r="V59" s="295"/>
      <c r="W59" s="295"/>
    </row>
    <row r="60" spans="2:23" ht="12.75" customHeight="1" x14ac:dyDescent="0.2">
      <c r="B60" s="234"/>
      <c r="C60" s="408"/>
      <c r="D60" s="212"/>
      <c r="E60" s="212"/>
      <c r="F60" s="213"/>
      <c r="G60" s="213"/>
      <c r="H60" s="213"/>
      <c r="I60" s="213"/>
      <c r="J60" s="212"/>
      <c r="K60" s="214"/>
      <c r="M60" s="194"/>
      <c r="N60" s="194"/>
      <c r="O60" s="194"/>
      <c r="P60" s="194"/>
      <c r="U60" s="295"/>
      <c r="V60" s="295"/>
      <c r="W60" s="295"/>
    </row>
    <row r="61" spans="2:23" ht="12.75" customHeight="1" x14ac:dyDescent="0.2">
      <c r="B61" s="216" t="s">
        <v>386</v>
      </c>
      <c r="C61" s="408"/>
      <c r="D61" s="212"/>
      <c r="E61" s="212"/>
      <c r="F61" s="213"/>
      <c r="G61" s="213"/>
      <c r="H61" s="213"/>
      <c r="I61" s="213"/>
      <c r="J61" s="212"/>
      <c r="K61" s="214"/>
      <c r="M61" s="194"/>
      <c r="U61" s="295"/>
      <c r="V61" s="295"/>
      <c r="W61" s="295"/>
    </row>
    <row r="62" spans="2:23" ht="12.75" customHeight="1" x14ac:dyDescent="0.2">
      <c r="B62" s="234" t="s">
        <v>436</v>
      </c>
      <c r="C62" s="362">
        <v>99263</v>
      </c>
      <c r="D62" s="212" t="s">
        <v>279</v>
      </c>
      <c r="E62" s="212"/>
      <c r="F62" s="213"/>
      <c r="G62" s="213"/>
      <c r="H62" s="213"/>
      <c r="I62" s="213"/>
      <c r="J62" s="212"/>
      <c r="K62" s="214"/>
      <c r="M62" s="194"/>
      <c r="U62" s="295"/>
      <c r="V62" s="295"/>
      <c r="W62" s="295"/>
    </row>
    <row r="63" spans="2:23" ht="12.75" customHeight="1" x14ac:dyDescent="0.2">
      <c r="B63" s="234" t="s">
        <v>416</v>
      </c>
      <c r="C63" s="362">
        <v>292908</v>
      </c>
      <c r="D63" s="212" t="s">
        <v>279</v>
      </c>
      <c r="E63" s="212"/>
      <c r="F63" s="213"/>
      <c r="G63" s="213"/>
      <c r="H63" s="213"/>
      <c r="I63" s="213"/>
      <c r="J63" s="212"/>
      <c r="K63" s="214"/>
      <c r="U63" s="295"/>
      <c r="V63" s="295"/>
      <c r="W63" s="295"/>
    </row>
    <row r="64" spans="2:23" ht="12.75" customHeight="1" x14ac:dyDescent="0.2">
      <c r="B64" s="234" t="s">
        <v>403</v>
      </c>
      <c r="C64" s="407">
        <v>6</v>
      </c>
      <c r="D64" s="212" t="s">
        <v>67</v>
      </c>
      <c r="E64" s="212"/>
      <c r="F64" s="213"/>
      <c r="G64" s="213"/>
      <c r="H64" s="213"/>
      <c r="I64" s="213"/>
      <c r="J64" s="212"/>
      <c r="K64" s="214"/>
      <c r="N64" s="295"/>
      <c r="O64" s="295"/>
      <c r="P64" s="295"/>
      <c r="Q64" s="295"/>
      <c r="R64" s="295"/>
      <c r="S64" s="295"/>
      <c r="T64" s="295"/>
      <c r="U64" s="295"/>
      <c r="V64" s="295"/>
      <c r="W64" s="295"/>
    </row>
    <row r="65" spans="1:23" ht="12.75" customHeight="1" x14ac:dyDescent="0.2">
      <c r="B65" s="234" t="s">
        <v>404</v>
      </c>
      <c r="C65" s="362">
        <v>1995</v>
      </c>
      <c r="D65" s="212" t="s">
        <v>196</v>
      </c>
      <c r="E65" s="212"/>
      <c r="F65" s="213"/>
      <c r="G65" s="213"/>
      <c r="H65" s="213"/>
      <c r="I65" s="213"/>
      <c r="J65" s="212"/>
      <c r="K65" s="214"/>
      <c r="N65" s="295"/>
      <c r="O65" s="295"/>
      <c r="P65" s="295"/>
      <c r="Q65" s="295"/>
      <c r="R65" s="295"/>
      <c r="S65" s="295"/>
      <c r="T65" s="295"/>
      <c r="U65" s="295"/>
      <c r="V65" s="295"/>
      <c r="W65" s="295"/>
    </row>
    <row r="66" spans="1:23" ht="12.75" customHeight="1" x14ac:dyDescent="0.2">
      <c r="B66" s="215"/>
      <c r="C66" s="323"/>
      <c r="D66" s="212"/>
      <c r="E66" s="212"/>
      <c r="F66" s="213"/>
      <c r="G66" s="213"/>
      <c r="H66" s="213"/>
      <c r="I66" s="213"/>
      <c r="J66" s="212"/>
      <c r="K66" s="214"/>
      <c r="N66" s="295"/>
      <c r="O66" s="295"/>
      <c r="P66" s="295"/>
      <c r="Q66" s="295"/>
      <c r="R66" s="295"/>
      <c r="S66" s="295"/>
      <c r="T66" s="295"/>
      <c r="U66" s="295"/>
      <c r="V66" s="295"/>
      <c r="W66" s="295"/>
    </row>
    <row r="67" spans="1:23" ht="12.75" customHeight="1" x14ac:dyDescent="0.2">
      <c r="B67" s="216" t="s">
        <v>399</v>
      </c>
      <c r="C67" s="413"/>
      <c r="D67" s="212"/>
      <c r="E67" s="212"/>
      <c r="F67" s="213"/>
      <c r="G67" s="213"/>
      <c r="H67" s="213"/>
      <c r="I67" s="213"/>
      <c r="J67" s="212"/>
      <c r="K67" s="214"/>
      <c r="N67" s="295"/>
      <c r="O67" s="295"/>
      <c r="P67" s="295"/>
      <c r="Q67" s="295"/>
      <c r="R67" s="295"/>
      <c r="S67" s="295"/>
      <c r="T67" s="295"/>
      <c r="U67" s="295"/>
      <c r="V67" s="295"/>
      <c r="W67" s="295"/>
    </row>
    <row r="68" spans="1:23" ht="12.75" customHeight="1" x14ac:dyDescent="0.2">
      <c r="B68" s="219" t="s">
        <v>395</v>
      </c>
      <c r="C68" s="414">
        <v>5</v>
      </c>
      <c r="D68" s="212"/>
      <c r="E68" s="212"/>
      <c r="F68" s="213"/>
      <c r="G68" s="213"/>
      <c r="H68" s="213"/>
      <c r="I68" s="213"/>
      <c r="J68" s="212"/>
      <c r="K68" s="222"/>
    </row>
    <row r="69" spans="1:23" ht="12.75" customHeight="1" x14ac:dyDescent="0.2">
      <c r="B69" s="219" t="s">
        <v>394</v>
      </c>
      <c r="C69" s="414">
        <v>0.84</v>
      </c>
      <c r="D69" s="212"/>
      <c r="E69" s="212"/>
      <c r="F69" s="213"/>
      <c r="G69" s="213"/>
      <c r="H69" s="213"/>
      <c r="I69" s="213"/>
      <c r="J69" s="212"/>
      <c r="K69" s="214"/>
    </row>
    <row r="70" spans="1:23" ht="12.75" customHeight="1" x14ac:dyDescent="0.2">
      <c r="B70" s="219" t="s">
        <v>412</v>
      </c>
      <c r="C70" s="323">
        <v>2.5</v>
      </c>
      <c r="D70" s="290"/>
      <c r="E70" s="212"/>
      <c r="F70" s="213"/>
      <c r="G70" s="213"/>
      <c r="H70" s="213"/>
      <c r="I70" s="213"/>
      <c r="J70" s="212"/>
      <c r="K70" s="214"/>
    </row>
    <row r="71" spans="1:23" ht="12.75" customHeight="1" x14ac:dyDescent="0.2">
      <c r="B71" s="234" t="s">
        <v>406</v>
      </c>
      <c r="C71" s="323">
        <v>0.5</v>
      </c>
      <c r="D71" s="212"/>
      <c r="E71" s="212"/>
      <c r="F71" s="209"/>
      <c r="G71" s="209"/>
      <c r="H71" s="209"/>
      <c r="I71" s="209"/>
      <c r="J71" s="212"/>
      <c r="K71" s="214"/>
    </row>
    <row r="72" spans="1:23" ht="12.75" customHeight="1" x14ac:dyDescent="0.2">
      <c r="B72" s="223"/>
      <c r="C72" s="323"/>
      <c r="D72" s="212"/>
      <c r="E72" s="212"/>
      <c r="F72" s="209"/>
      <c r="G72" s="209"/>
      <c r="H72" s="209"/>
      <c r="I72" s="209"/>
      <c r="J72" s="212"/>
      <c r="K72" s="214"/>
    </row>
    <row r="73" spans="1:23" ht="12.75" customHeight="1" x14ac:dyDescent="0.2">
      <c r="B73" s="223" t="s">
        <v>450</v>
      </c>
      <c r="C73" s="323">
        <v>0</v>
      </c>
      <c r="D73" s="212" t="s">
        <v>279</v>
      </c>
      <c r="E73" s="212"/>
      <c r="F73" s="209"/>
      <c r="G73" s="209"/>
      <c r="H73" s="209"/>
      <c r="I73" s="209"/>
      <c r="J73" s="212"/>
      <c r="K73" s="214"/>
    </row>
    <row r="74" spans="1:23" ht="13.5" thickBot="1" x14ac:dyDescent="0.25">
      <c r="B74" s="224"/>
      <c r="C74" s="374"/>
      <c r="D74" s="225"/>
      <c r="E74" s="225"/>
      <c r="F74" s="226"/>
      <c r="G74" s="226"/>
      <c r="H74" s="226"/>
      <c r="I74" s="226"/>
      <c r="J74" s="225"/>
      <c r="K74" s="227"/>
    </row>
    <row r="75" spans="1:23" s="189" customFormat="1" x14ac:dyDescent="0.2">
      <c r="A75" s="208"/>
      <c r="B75" s="208"/>
      <c r="C75" s="322"/>
      <c r="D75" s="208"/>
      <c r="E75" s="208"/>
      <c r="F75" s="264"/>
      <c r="G75" s="264"/>
      <c r="H75" s="264"/>
      <c r="I75" s="264"/>
      <c r="J75" s="208"/>
      <c r="K75" s="208"/>
      <c r="L75" s="208"/>
    </row>
    <row r="76" spans="1:23" s="189" customFormat="1" x14ac:dyDescent="0.2">
      <c r="A76" s="208"/>
      <c r="B76" s="208"/>
      <c r="C76" s="322"/>
      <c r="D76" s="208"/>
      <c r="E76" s="208"/>
      <c r="F76" s="264"/>
      <c r="G76" s="264"/>
      <c r="H76" s="264"/>
      <c r="I76" s="264"/>
      <c r="J76" s="208"/>
      <c r="K76" s="208"/>
      <c r="L76" s="208"/>
    </row>
    <row r="77" spans="1:23" s="189" customFormat="1" x14ac:dyDescent="0.2">
      <c r="A77" s="208"/>
      <c r="B77" s="208"/>
      <c r="C77" s="322"/>
      <c r="D77" s="208"/>
      <c r="E77" s="208"/>
      <c r="F77" s="264"/>
      <c r="G77" s="264"/>
      <c r="H77" s="264"/>
      <c r="I77" s="264"/>
      <c r="J77" s="208"/>
      <c r="K77" s="208"/>
      <c r="L77" s="208"/>
    </row>
    <row r="78" spans="1:23" s="189" customFormat="1" x14ac:dyDescent="0.2">
      <c r="A78" s="208"/>
      <c r="B78" s="208"/>
      <c r="C78" s="322"/>
      <c r="D78" s="208"/>
      <c r="E78" s="208"/>
      <c r="F78" s="264"/>
      <c r="G78" s="264"/>
      <c r="H78" s="264"/>
      <c r="I78" s="264"/>
      <c r="J78" s="208"/>
      <c r="K78" s="208"/>
      <c r="L78" s="208"/>
    </row>
    <row r="79" spans="1:23" s="189" customFormat="1" x14ac:dyDescent="0.2">
      <c r="A79" s="208"/>
      <c r="B79" s="208"/>
      <c r="C79" s="322"/>
      <c r="D79" s="208"/>
      <c r="E79" s="208"/>
      <c r="F79" s="264"/>
      <c r="G79" s="264"/>
      <c r="H79" s="264"/>
      <c r="I79" s="264"/>
      <c r="J79" s="208"/>
      <c r="K79" s="208"/>
      <c r="L79" s="208"/>
    </row>
    <row r="80" spans="1:23" s="189" customFormat="1" x14ac:dyDescent="0.2">
      <c r="A80" s="208"/>
      <c r="B80" s="208"/>
      <c r="C80" s="322"/>
      <c r="D80" s="208"/>
      <c r="E80" s="208"/>
      <c r="F80" s="264"/>
      <c r="G80" s="264"/>
      <c r="H80" s="264"/>
      <c r="I80" s="264"/>
      <c r="J80" s="208"/>
      <c r="K80" s="208"/>
      <c r="L80" s="208"/>
    </row>
    <row r="81" spans="1:12" s="189" customFormat="1" x14ac:dyDescent="0.2">
      <c r="A81" s="208"/>
      <c r="B81" s="208"/>
      <c r="C81" s="322"/>
      <c r="D81" s="208"/>
      <c r="E81" s="208"/>
      <c r="F81" s="264"/>
      <c r="G81" s="264"/>
      <c r="H81" s="264"/>
      <c r="I81" s="264"/>
      <c r="J81" s="208"/>
      <c r="K81" s="208"/>
      <c r="L81" s="208"/>
    </row>
    <row r="82" spans="1:12" s="189" customFormat="1" x14ac:dyDescent="0.2">
      <c r="A82" s="208"/>
      <c r="B82" s="208"/>
      <c r="C82" s="322"/>
      <c r="D82" s="208"/>
      <c r="E82" s="208"/>
      <c r="F82" s="264"/>
      <c r="G82" s="264"/>
      <c r="H82" s="264"/>
      <c r="I82" s="264"/>
      <c r="J82" s="208"/>
      <c r="K82" s="208"/>
      <c r="L82" s="208"/>
    </row>
    <row r="83" spans="1:12" s="189" customFormat="1" x14ac:dyDescent="0.2">
      <c r="A83" s="208"/>
      <c r="B83" s="208"/>
      <c r="C83" s="322"/>
      <c r="D83" s="208"/>
      <c r="E83" s="208"/>
      <c r="F83" s="264"/>
      <c r="G83" s="264"/>
      <c r="H83" s="264"/>
      <c r="I83" s="264"/>
      <c r="J83" s="208"/>
      <c r="K83" s="208"/>
      <c r="L83" s="208"/>
    </row>
    <row r="84" spans="1:12" s="189" customFormat="1" x14ac:dyDescent="0.2">
      <c r="A84" s="208"/>
      <c r="B84" s="208"/>
      <c r="C84" s="322"/>
      <c r="D84" s="208"/>
      <c r="E84" s="208"/>
      <c r="F84" s="264"/>
      <c r="G84" s="296"/>
      <c r="H84" s="264"/>
      <c r="I84" s="264"/>
      <c r="J84" s="208"/>
      <c r="K84" s="208"/>
      <c r="L84" s="208"/>
    </row>
    <row r="85" spans="1:12" s="189" customFormat="1" x14ac:dyDescent="0.2">
      <c r="A85" s="208"/>
      <c r="B85" s="208"/>
      <c r="C85" s="322"/>
      <c r="D85" s="208"/>
      <c r="E85" s="297"/>
      <c r="F85" s="264"/>
      <c r="G85" s="264"/>
      <c r="H85" s="264"/>
      <c r="I85" s="264"/>
      <c r="J85" s="208"/>
      <c r="K85" s="208"/>
      <c r="L85" s="208"/>
    </row>
    <row r="86" spans="1:12" s="189" customFormat="1" x14ac:dyDescent="0.2">
      <c r="A86" s="208"/>
      <c r="B86" s="208"/>
      <c r="C86" s="322"/>
      <c r="D86" s="208"/>
      <c r="E86" s="208"/>
      <c r="F86" s="264"/>
      <c r="G86" s="264"/>
      <c r="H86" s="264"/>
      <c r="I86" s="264"/>
      <c r="J86" s="208"/>
      <c r="K86" s="208"/>
      <c r="L86" s="208"/>
    </row>
    <row r="87" spans="1:12" s="189" customFormat="1" x14ac:dyDescent="0.2">
      <c r="A87" s="208"/>
      <c r="B87" s="208"/>
      <c r="C87" s="322"/>
      <c r="D87" s="208"/>
      <c r="E87" s="208"/>
      <c r="F87" s="264"/>
      <c r="G87" s="264"/>
      <c r="H87" s="264"/>
      <c r="I87" s="264"/>
      <c r="J87" s="208"/>
      <c r="K87" s="208"/>
      <c r="L87" s="208"/>
    </row>
    <row r="88" spans="1:12" s="189" customFormat="1" x14ac:dyDescent="0.2">
      <c r="A88" s="208"/>
      <c r="B88" s="208"/>
      <c r="C88" s="322"/>
      <c r="D88" s="208"/>
      <c r="E88" s="208"/>
      <c r="F88" s="264"/>
      <c r="G88" s="264"/>
      <c r="H88" s="264"/>
      <c r="I88" s="264"/>
      <c r="J88" s="208"/>
      <c r="K88" s="208"/>
      <c r="L88" s="208"/>
    </row>
    <row r="89" spans="1:12" s="189" customFormat="1" x14ac:dyDescent="0.2">
      <c r="A89" s="208"/>
      <c r="B89" s="208"/>
      <c r="C89" s="322"/>
      <c r="D89" s="208"/>
      <c r="E89" s="208"/>
      <c r="F89" s="264"/>
      <c r="G89" s="264"/>
      <c r="H89" s="264"/>
      <c r="I89" s="264"/>
      <c r="J89" s="208"/>
      <c r="K89" s="208"/>
      <c r="L89" s="208"/>
    </row>
    <row r="90" spans="1:12" s="189" customFormat="1" x14ac:dyDescent="0.2">
      <c r="A90" s="208"/>
      <c r="B90" s="208"/>
      <c r="C90" s="322"/>
      <c r="D90" s="208"/>
      <c r="E90" s="208"/>
      <c r="F90" s="264"/>
      <c r="G90" s="264"/>
      <c r="H90" s="264"/>
      <c r="I90" s="264"/>
      <c r="J90" s="208"/>
      <c r="K90" s="208"/>
      <c r="L90" s="208"/>
    </row>
    <row r="91" spans="1:12" s="189" customFormat="1" x14ac:dyDescent="0.2">
      <c r="A91" s="208"/>
      <c r="B91" s="208"/>
      <c r="C91" s="322"/>
      <c r="D91" s="208"/>
      <c r="E91" s="208"/>
      <c r="F91" s="264"/>
      <c r="G91" s="264"/>
      <c r="H91" s="264"/>
      <c r="I91" s="264"/>
      <c r="J91" s="208"/>
      <c r="K91" s="208"/>
      <c r="L91" s="208"/>
    </row>
    <row r="92" spans="1:12" s="189" customFormat="1" x14ac:dyDescent="0.2">
      <c r="A92" s="208"/>
      <c r="B92" s="208"/>
      <c r="C92" s="322"/>
      <c r="D92" s="208"/>
      <c r="E92" s="208"/>
      <c r="F92" s="264"/>
      <c r="G92" s="264"/>
      <c r="H92" s="264"/>
      <c r="I92" s="264"/>
      <c r="J92" s="208"/>
      <c r="K92" s="208"/>
      <c r="L92" s="208"/>
    </row>
    <row r="93" spans="1:12" s="189" customFormat="1" x14ac:dyDescent="0.2">
      <c r="A93" s="208"/>
      <c r="B93" s="208"/>
      <c r="C93" s="322"/>
      <c r="D93" s="208"/>
      <c r="E93" s="208"/>
      <c r="F93" s="264"/>
      <c r="G93" s="264"/>
      <c r="H93" s="264"/>
      <c r="I93" s="264"/>
      <c r="J93" s="208"/>
      <c r="K93" s="208"/>
      <c r="L93" s="208"/>
    </row>
    <row r="94" spans="1:12" s="189" customFormat="1" x14ac:dyDescent="0.2">
      <c r="A94" s="208"/>
      <c r="B94" s="208"/>
      <c r="C94" s="322"/>
      <c r="D94" s="208"/>
      <c r="E94" s="208"/>
      <c r="F94" s="264"/>
      <c r="G94" s="264"/>
      <c r="H94" s="264"/>
      <c r="I94" s="264"/>
      <c r="J94" s="208"/>
      <c r="K94" s="208"/>
      <c r="L94" s="208"/>
    </row>
    <row r="95" spans="1:12" s="189" customFormat="1" x14ac:dyDescent="0.2">
      <c r="A95" s="208"/>
      <c r="B95" s="208"/>
      <c r="C95" s="322"/>
      <c r="D95" s="208"/>
      <c r="E95" s="208"/>
      <c r="F95" s="264"/>
      <c r="G95" s="264"/>
      <c r="H95" s="264"/>
      <c r="I95" s="264"/>
      <c r="J95" s="208"/>
      <c r="K95" s="208"/>
      <c r="L95" s="208"/>
    </row>
    <row r="96" spans="1:12" s="189" customFormat="1" x14ac:dyDescent="0.2">
      <c r="A96" s="208"/>
      <c r="B96" s="208"/>
      <c r="C96" s="322"/>
      <c r="D96" s="208"/>
      <c r="E96" s="208"/>
      <c r="F96" s="264"/>
      <c r="G96" s="264"/>
      <c r="H96" s="264"/>
      <c r="I96" s="264"/>
      <c r="J96" s="208"/>
      <c r="K96" s="208"/>
      <c r="L96" s="208"/>
    </row>
    <row r="97" spans="1:12" s="189" customFormat="1" x14ac:dyDescent="0.2">
      <c r="A97" s="208"/>
      <c r="B97" s="208"/>
      <c r="C97" s="322"/>
      <c r="D97" s="208"/>
      <c r="E97" s="208"/>
      <c r="F97" s="264"/>
      <c r="G97" s="264"/>
      <c r="H97" s="264"/>
      <c r="I97" s="264"/>
      <c r="J97" s="208"/>
      <c r="K97" s="208"/>
      <c r="L97" s="208"/>
    </row>
    <row r="98" spans="1:12" s="189" customFormat="1" x14ac:dyDescent="0.2">
      <c r="A98" s="208"/>
      <c r="B98" s="208"/>
      <c r="C98" s="322"/>
      <c r="D98" s="208"/>
      <c r="E98" s="208"/>
      <c r="F98" s="264"/>
      <c r="G98" s="264"/>
      <c r="H98" s="264"/>
      <c r="I98" s="264"/>
      <c r="J98" s="208"/>
      <c r="K98" s="208"/>
      <c r="L98" s="208"/>
    </row>
    <row r="99" spans="1:12" s="189" customFormat="1" x14ac:dyDescent="0.2">
      <c r="A99" s="208"/>
      <c r="B99" s="208"/>
      <c r="C99" s="322"/>
      <c r="D99" s="208"/>
      <c r="E99" s="208"/>
      <c r="F99" s="264"/>
      <c r="G99" s="264"/>
      <c r="H99" s="264"/>
      <c r="I99" s="264"/>
      <c r="J99" s="208"/>
      <c r="K99" s="208"/>
      <c r="L99" s="208"/>
    </row>
    <row r="100" spans="1:12" s="189" customFormat="1" x14ac:dyDescent="0.2">
      <c r="A100" s="208"/>
      <c r="B100" s="208"/>
      <c r="C100" s="322"/>
      <c r="D100" s="208"/>
      <c r="E100" s="208"/>
      <c r="F100" s="264"/>
      <c r="G100" s="264"/>
      <c r="H100" s="264"/>
      <c r="I100" s="264"/>
      <c r="J100" s="208"/>
      <c r="K100" s="208"/>
      <c r="L100" s="208"/>
    </row>
    <row r="101" spans="1:12" s="189" customFormat="1" x14ac:dyDescent="0.2">
      <c r="A101" s="208"/>
      <c r="B101" s="208"/>
      <c r="C101" s="322"/>
      <c r="D101" s="208"/>
      <c r="E101" s="208"/>
      <c r="F101" s="264"/>
      <c r="G101" s="264"/>
      <c r="H101" s="264"/>
      <c r="I101" s="264"/>
      <c r="J101" s="208"/>
      <c r="K101" s="208"/>
      <c r="L101" s="208"/>
    </row>
    <row r="102" spans="1:12" s="189" customFormat="1" x14ac:dyDescent="0.2">
      <c r="A102" s="208"/>
      <c r="B102" s="208"/>
      <c r="C102" s="322"/>
      <c r="D102" s="208"/>
      <c r="E102" s="208"/>
      <c r="F102" s="264"/>
      <c r="G102" s="264"/>
      <c r="H102" s="264"/>
      <c r="I102" s="264"/>
      <c r="J102" s="208"/>
      <c r="K102" s="208"/>
      <c r="L102" s="208"/>
    </row>
    <row r="103" spans="1:12" s="189" customFormat="1" x14ac:dyDescent="0.2">
      <c r="A103" s="208"/>
      <c r="B103" s="208"/>
      <c r="C103" s="322"/>
      <c r="D103" s="208"/>
      <c r="E103" s="208"/>
      <c r="F103" s="264"/>
      <c r="G103" s="264"/>
      <c r="H103" s="264"/>
      <c r="I103" s="264"/>
      <c r="J103" s="208"/>
      <c r="K103" s="208"/>
      <c r="L103" s="208"/>
    </row>
  </sheetData>
  <sheetProtection password="B2FB" sheet="1" objects="1" scenarios="1"/>
  <protectedRanges>
    <protectedRange sqref="M1:HZ65536" name="Range2"/>
    <protectedRange sqref="C14:C73" name="Range1"/>
  </protectedRanges>
  <phoneticPr fontId="2" type="noConversion"/>
  <pageMargins left="0.75" right="0.75" top="1" bottom="1" header="0.5" footer="0.5"/>
  <pageSetup paperSize="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6"/>
  </sheetPr>
  <dimension ref="A1:AP119"/>
  <sheetViews>
    <sheetView workbookViewId="0">
      <selection activeCell="D18" sqref="D18"/>
    </sheetView>
  </sheetViews>
  <sheetFormatPr defaultRowHeight="12.75" x14ac:dyDescent="0.2"/>
  <cols>
    <col min="1" max="1" width="6.140625" style="206" customWidth="1"/>
    <col min="2" max="2" width="27" style="206" customWidth="1"/>
    <col min="3" max="3" width="7.85546875" style="206" customWidth="1"/>
    <col min="4" max="4" width="10" style="206" bestFit="1" customWidth="1"/>
    <col min="5" max="5" width="10.140625" style="206" bestFit="1" customWidth="1"/>
    <col min="6" max="7" width="9.140625" style="206"/>
    <col min="8" max="8" width="12.42578125" style="206" customWidth="1"/>
    <col min="9" max="17" width="9.140625" style="206"/>
    <col min="18" max="29" width="9.140625" style="208"/>
    <col min="30" max="42" width="9.140625" style="189"/>
  </cols>
  <sheetData>
    <row r="1" spans="1:18" x14ac:dyDescent="0.2">
      <c r="A1" s="208"/>
      <c r="B1" s="212"/>
      <c r="C1" s="212"/>
      <c r="D1" s="212"/>
      <c r="E1" s="212"/>
      <c r="F1" s="212"/>
      <c r="G1" s="212"/>
      <c r="H1" s="212"/>
      <c r="I1" s="212"/>
      <c r="J1" s="212"/>
      <c r="K1" s="212"/>
      <c r="L1" s="212"/>
      <c r="M1" s="212"/>
      <c r="N1" s="212"/>
      <c r="O1" s="212"/>
      <c r="P1" s="212"/>
      <c r="Q1" s="212"/>
    </row>
    <row r="2" spans="1:18" x14ac:dyDescent="0.2">
      <c r="A2" s="208"/>
      <c r="B2" s="300" t="s">
        <v>422</v>
      </c>
      <c r="C2" s="212"/>
      <c r="D2" s="212"/>
      <c r="E2" s="212"/>
      <c r="F2" s="212"/>
      <c r="G2" s="212"/>
      <c r="H2" s="212"/>
      <c r="I2" s="212"/>
      <c r="J2" s="212"/>
      <c r="K2" s="212"/>
      <c r="L2" s="212"/>
      <c r="M2" s="212"/>
      <c r="N2" s="212"/>
      <c r="O2" s="212"/>
      <c r="P2" s="212"/>
      <c r="Q2" s="212"/>
    </row>
    <row r="3" spans="1:18" ht="13.5" thickBot="1" x14ac:dyDescent="0.25">
      <c r="A3" s="208"/>
      <c r="B3" s="212"/>
      <c r="C3" s="212"/>
      <c r="D3" s="212"/>
      <c r="E3" s="212"/>
      <c r="F3" s="212"/>
      <c r="G3" s="212"/>
      <c r="H3" s="212"/>
      <c r="I3" s="212"/>
      <c r="J3" s="212"/>
      <c r="K3" s="212"/>
      <c r="L3" s="212"/>
      <c r="M3" s="212"/>
      <c r="N3" s="212"/>
      <c r="O3" s="212"/>
      <c r="P3" s="212"/>
      <c r="Q3" s="212"/>
    </row>
    <row r="4" spans="1:18" x14ac:dyDescent="0.2">
      <c r="A4" s="208"/>
      <c r="B4" s="241" t="s">
        <v>444</v>
      </c>
      <c r="C4" s="242"/>
      <c r="D4" s="242"/>
      <c r="E4" s="242"/>
      <c r="F4" s="242"/>
      <c r="G4" s="242"/>
      <c r="H4" s="242"/>
      <c r="I4" s="242"/>
      <c r="J4" s="242"/>
      <c r="K4" s="242"/>
      <c r="L4" s="242"/>
      <c r="M4" s="242"/>
      <c r="N4" s="242"/>
      <c r="O4" s="242"/>
      <c r="P4" s="242"/>
      <c r="Q4" s="244"/>
    </row>
    <row r="5" spans="1:18" x14ac:dyDescent="0.2">
      <c r="A5" s="208"/>
      <c r="B5" s="245" t="s">
        <v>445</v>
      </c>
      <c r="C5" s="246"/>
      <c r="D5" s="246"/>
      <c r="E5" s="246"/>
      <c r="F5" s="246"/>
      <c r="G5" s="246"/>
      <c r="H5" s="246"/>
      <c r="I5" s="246"/>
      <c r="J5" s="246"/>
      <c r="K5" s="246"/>
      <c r="L5" s="246"/>
      <c r="M5" s="246"/>
      <c r="N5" s="246"/>
      <c r="O5" s="246"/>
      <c r="P5" s="246"/>
      <c r="Q5" s="247"/>
    </row>
    <row r="6" spans="1:18" x14ac:dyDescent="0.2">
      <c r="A6" s="208"/>
      <c r="B6" s="245" t="s">
        <v>446</v>
      </c>
      <c r="C6" s="246"/>
      <c r="D6" s="246"/>
      <c r="E6" s="246"/>
      <c r="F6" s="246"/>
      <c r="G6" s="246"/>
      <c r="H6" s="246"/>
      <c r="I6" s="246"/>
      <c r="J6" s="246"/>
      <c r="K6" s="246"/>
      <c r="L6" s="246"/>
      <c r="M6" s="246"/>
      <c r="N6" s="246"/>
      <c r="O6" s="246"/>
      <c r="P6" s="246"/>
      <c r="Q6" s="247"/>
    </row>
    <row r="7" spans="1:18" ht="13.5" thickBot="1" x14ac:dyDescent="0.25">
      <c r="A7" s="208"/>
      <c r="B7" s="249"/>
      <c r="C7" s="250"/>
      <c r="D7" s="250"/>
      <c r="E7" s="250"/>
      <c r="F7" s="250"/>
      <c r="G7" s="250"/>
      <c r="H7" s="250"/>
      <c r="I7" s="250"/>
      <c r="J7" s="250"/>
      <c r="K7" s="250"/>
      <c r="L7" s="250"/>
      <c r="M7" s="250"/>
      <c r="N7" s="250"/>
      <c r="O7" s="250"/>
      <c r="P7" s="250"/>
      <c r="Q7" s="252"/>
    </row>
    <row r="8" spans="1:18" ht="13.5" thickBot="1" x14ac:dyDescent="0.25">
      <c r="A8" s="208"/>
      <c r="B8" s="208"/>
      <c r="C8" s="208"/>
      <c r="D8" s="208"/>
      <c r="E8" s="208"/>
      <c r="F8" s="212"/>
      <c r="G8" s="212"/>
      <c r="H8" s="212"/>
      <c r="I8" s="212"/>
      <c r="J8" s="212"/>
      <c r="K8" s="212"/>
      <c r="L8" s="212"/>
      <c r="M8" s="212"/>
      <c r="N8" s="212"/>
      <c r="O8" s="212"/>
      <c r="P8" s="212"/>
      <c r="Q8" s="212"/>
      <c r="R8" s="212"/>
    </row>
    <row r="9" spans="1:18" x14ac:dyDescent="0.2">
      <c r="A9" s="208"/>
      <c r="B9" s="301"/>
      <c r="C9" s="302"/>
      <c r="D9" s="302" t="s">
        <v>452</v>
      </c>
      <c r="E9" s="303"/>
      <c r="F9" s="304"/>
      <c r="G9" s="304"/>
      <c r="H9" s="304"/>
      <c r="I9" s="304"/>
      <c r="J9" s="304"/>
      <c r="K9" s="304"/>
      <c r="L9" s="304"/>
      <c r="M9" s="304"/>
      <c r="N9" s="304"/>
      <c r="O9" s="304"/>
      <c r="P9" s="304"/>
      <c r="Q9" s="304"/>
      <c r="R9" s="212"/>
    </row>
    <row r="10" spans="1:18" x14ac:dyDescent="0.2">
      <c r="A10" s="208"/>
      <c r="B10" s="305" t="s">
        <v>219</v>
      </c>
      <c r="C10" s="212" t="s">
        <v>0</v>
      </c>
      <c r="D10" s="306">
        <f>Berekeningsresultaten!O86</f>
        <v>846262.09795420198</v>
      </c>
      <c r="E10" s="307"/>
      <c r="F10" s="308"/>
      <c r="G10" s="308"/>
      <c r="H10" s="308"/>
      <c r="I10" s="212"/>
      <c r="J10" s="212"/>
      <c r="K10" s="212"/>
      <c r="L10" s="212"/>
      <c r="M10" s="212"/>
      <c r="N10" s="212"/>
      <c r="O10" s="212"/>
      <c r="P10" s="212"/>
      <c r="Q10" s="212"/>
      <c r="R10" s="212"/>
    </row>
    <row r="11" spans="1:18" x14ac:dyDescent="0.2">
      <c r="A11" s="208"/>
      <c r="B11" s="305"/>
      <c r="C11" s="212"/>
      <c r="D11" s="308"/>
      <c r="E11" s="307"/>
      <c r="F11" s="308"/>
      <c r="G11" s="308"/>
      <c r="H11" s="212"/>
      <c r="I11" s="212"/>
      <c r="J11" s="212"/>
      <c r="K11" s="212"/>
      <c r="L11" s="212"/>
      <c r="M11" s="212"/>
      <c r="N11" s="212"/>
      <c r="O11" s="212"/>
      <c r="P11" s="212"/>
      <c r="Q11" s="212"/>
      <c r="R11" s="212"/>
    </row>
    <row r="12" spans="1:18" x14ac:dyDescent="0.2">
      <c r="A12" s="208"/>
      <c r="B12" s="305" t="s">
        <v>229</v>
      </c>
      <c r="C12" s="212" t="s">
        <v>65</v>
      </c>
      <c r="D12" s="308">
        <f>Gegevensinvoer!C17</f>
        <v>1192.2</v>
      </c>
      <c r="E12" s="307"/>
      <c r="F12" s="308"/>
      <c r="G12" s="308"/>
      <c r="H12" s="212"/>
      <c r="I12" s="212"/>
      <c r="J12" s="212"/>
      <c r="K12" s="212"/>
      <c r="L12" s="212"/>
      <c r="M12" s="212"/>
      <c r="N12" s="212"/>
      <c r="O12" s="212"/>
      <c r="P12" s="212"/>
      <c r="Q12" s="212"/>
      <c r="R12" s="212"/>
    </row>
    <row r="13" spans="1:18" x14ac:dyDescent="0.2">
      <c r="A13" s="208"/>
      <c r="B13" s="305" t="s">
        <v>228</v>
      </c>
      <c r="C13" s="212" t="s">
        <v>65</v>
      </c>
      <c r="D13" s="308">
        <f>Gegevensinvoer!C14</f>
        <v>2177.86</v>
      </c>
      <c r="E13" s="307"/>
      <c r="F13" s="308"/>
      <c r="G13" s="308"/>
      <c r="H13" s="212"/>
      <c r="I13" s="212"/>
      <c r="J13" s="212"/>
      <c r="K13" s="212"/>
      <c r="L13" s="212"/>
      <c r="M13" s="212"/>
      <c r="N13" s="212"/>
      <c r="O13" s="212"/>
      <c r="P13" s="212"/>
      <c r="Q13" s="212"/>
      <c r="R13" s="212"/>
    </row>
    <row r="14" spans="1:18" x14ac:dyDescent="0.2">
      <c r="A14" s="208"/>
      <c r="B14" s="305" t="s">
        <v>230</v>
      </c>
      <c r="C14" s="212" t="s">
        <v>69</v>
      </c>
      <c r="D14" s="308">
        <f>Gegevensinvoer!C55</f>
        <v>3016</v>
      </c>
      <c r="E14" s="307"/>
      <c r="F14" s="308"/>
      <c r="G14" s="308"/>
      <c r="H14" s="212"/>
      <c r="I14" s="212"/>
      <c r="J14" s="212"/>
      <c r="K14" s="212"/>
      <c r="L14" s="212"/>
      <c r="M14" s="212"/>
      <c r="N14" s="212"/>
      <c r="O14" s="212"/>
      <c r="P14" s="212"/>
      <c r="Q14" s="212"/>
      <c r="R14" s="212"/>
    </row>
    <row r="15" spans="1:18" x14ac:dyDescent="0.2">
      <c r="A15" s="208"/>
      <c r="B15" s="305" t="s">
        <v>231</v>
      </c>
      <c r="C15" s="212" t="s">
        <v>69</v>
      </c>
      <c r="D15" s="308">
        <f>Gegevensinvoer!C53</f>
        <v>5515</v>
      </c>
      <c r="E15" s="214"/>
      <c r="F15" s="308"/>
      <c r="G15" s="212"/>
      <c r="H15" s="212"/>
      <c r="I15" s="212"/>
      <c r="J15" s="212"/>
      <c r="K15" s="212"/>
      <c r="L15" s="212"/>
      <c r="M15" s="212"/>
      <c r="N15" s="212"/>
      <c r="O15" s="212"/>
      <c r="P15" s="212"/>
      <c r="Q15" s="212"/>
      <c r="R15" s="212"/>
    </row>
    <row r="16" spans="1:18" x14ac:dyDescent="0.2">
      <c r="A16" s="208"/>
      <c r="B16" s="305" t="s">
        <v>203</v>
      </c>
      <c r="C16" s="212" t="s">
        <v>69</v>
      </c>
      <c r="D16" s="308">
        <f>D15-D14</f>
        <v>2499</v>
      </c>
      <c r="E16" s="307"/>
      <c r="F16" s="308"/>
      <c r="G16" s="308"/>
      <c r="H16" s="308"/>
      <c r="I16" s="212"/>
      <c r="J16" s="212"/>
      <c r="K16" s="212"/>
      <c r="L16" s="212"/>
      <c r="M16" s="212"/>
      <c r="N16" s="212"/>
      <c r="O16" s="212"/>
      <c r="P16" s="212"/>
      <c r="Q16" s="212"/>
      <c r="R16" s="212"/>
    </row>
    <row r="17" spans="1:18" x14ac:dyDescent="0.2">
      <c r="A17" s="208"/>
      <c r="B17" s="305" t="s">
        <v>388</v>
      </c>
      <c r="C17" s="212"/>
      <c r="D17" s="308">
        <f>Gegevensinvoer!C63</f>
        <v>292908</v>
      </c>
      <c r="E17" s="214"/>
      <c r="F17" s="212"/>
      <c r="G17" s="212"/>
      <c r="H17" s="212"/>
      <c r="I17" s="212"/>
      <c r="J17" s="212"/>
      <c r="K17" s="212"/>
      <c r="L17" s="212"/>
      <c r="M17" s="212"/>
      <c r="N17" s="212"/>
      <c r="O17" s="212"/>
      <c r="P17" s="212"/>
      <c r="Q17" s="212"/>
      <c r="R17" s="212"/>
    </row>
    <row r="18" spans="1:18" x14ac:dyDescent="0.2">
      <c r="A18" s="208"/>
      <c r="B18" s="305" t="s">
        <v>389</v>
      </c>
      <c r="C18" s="212"/>
      <c r="D18" s="308">
        <f>Gegevensinvoer!C62</f>
        <v>99263</v>
      </c>
      <c r="E18" s="214"/>
      <c r="F18" s="212"/>
      <c r="G18" s="212"/>
      <c r="H18" s="212"/>
      <c r="I18" s="212"/>
      <c r="J18" s="212"/>
      <c r="K18" s="212"/>
      <c r="L18" s="212"/>
      <c r="M18" s="212"/>
      <c r="N18" s="212"/>
      <c r="O18" s="212"/>
      <c r="P18" s="212"/>
      <c r="Q18" s="212"/>
      <c r="R18" s="212"/>
    </row>
    <row r="19" spans="1:18" x14ac:dyDescent="0.2">
      <c r="A19" s="208"/>
      <c r="B19" s="305"/>
      <c r="C19" s="212"/>
      <c r="D19" s="308"/>
      <c r="E19" s="214"/>
      <c r="F19" s="212"/>
      <c r="G19" s="212"/>
      <c r="H19" s="212"/>
      <c r="I19" s="212"/>
      <c r="J19" s="212"/>
      <c r="K19" s="212"/>
      <c r="L19" s="212"/>
      <c r="M19" s="212"/>
      <c r="N19" s="212"/>
      <c r="O19" s="212"/>
      <c r="P19" s="212"/>
      <c r="Q19" s="212"/>
      <c r="R19" s="212"/>
    </row>
    <row r="20" spans="1:18" x14ac:dyDescent="0.2">
      <c r="A20" s="208"/>
      <c r="B20" s="305" t="s">
        <v>405</v>
      </c>
      <c r="C20" s="212"/>
      <c r="D20" s="308">
        <f>Gegevensinvoer!C73</f>
        <v>0</v>
      </c>
      <c r="E20" s="214"/>
      <c r="F20" s="212"/>
      <c r="G20" s="212"/>
      <c r="H20" s="212"/>
      <c r="I20" s="212"/>
      <c r="J20" s="212"/>
      <c r="K20" s="212"/>
      <c r="L20" s="212"/>
      <c r="M20" s="212"/>
      <c r="N20" s="212"/>
      <c r="O20" s="212"/>
      <c r="P20" s="212"/>
      <c r="Q20" s="212"/>
      <c r="R20" s="212"/>
    </row>
    <row r="21" spans="1:18" x14ac:dyDescent="0.2">
      <c r="A21" s="208"/>
      <c r="B21" s="305"/>
      <c r="C21" s="212"/>
      <c r="D21" s="212"/>
      <c r="E21" s="214"/>
      <c r="F21" s="212"/>
      <c r="G21" s="212"/>
      <c r="H21" s="212"/>
      <c r="I21" s="212"/>
      <c r="J21" s="212"/>
      <c r="K21" s="212"/>
      <c r="L21" s="212"/>
      <c r="M21" s="212"/>
      <c r="N21" s="212"/>
      <c r="O21" s="212"/>
      <c r="P21" s="212"/>
      <c r="Q21" s="212"/>
      <c r="R21" s="212"/>
    </row>
    <row r="22" spans="1:18" x14ac:dyDescent="0.2">
      <c r="A22" s="208"/>
      <c r="B22" s="305" t="s">
        <v>2</v>
      </c>
      <c r="C22" s="212"/>
      <c r="D22" s="212">
        <f>Gegevensinvoer!C16</f>
        <v>16</v>
      </c>
      <c r="E22" s="214"/>
      <c r="F22" s="212"/>
      <c r="G22" s="212"/>
      <c r="H22" s="212"/>
      <c r="I22" s="212"/>
      <c r="J22" s="212"/>
      <c r="K22" s="212"/>
      <c r="L22" s="212"/>
      <c r="M22" s="212"/>
      <c r="N22" s="212"/>
      <c r="O22" s="212"/>
      <c r="P22" s="212"/>
      <c r="Q22" s="212"/>
      <c r="R22" s="212"/>
    </row>
    <row r="23" spans="1:18" x14ac:dyDescent="0.2">
      <c r="A23" s="208"/>
      <c r="B23" s="305" t="s">
        <v>227</v>
      </c>
      <c r="C23" s="212" t="s">
        <v>0</v>
      </c>
      <c r="D23" s="306">
        <f>Parameters!$B$125*D12+Parameters!$B$126*D13+Parameters!$B$127*D14+Parameters!$B$128*D16+D17+Parameters!$B$130*D22</f>
        <v>1931027.9181999997</v>
      </c>
      <c r="E23" s="307"/>
      <c r="F23" s="308"/>
      <c r="G23" s="308"/>
      <c r="H23" s="308"/>
      <c r="I23" s="308"/>
      <c r="J23" s="308"/>
      <c r="K23" s="212"/>
      <c r="L23" s="212"/>
      <c r="M23" s="212"/>
      <c r="N23" s="212"/>
      <c r="O23" s="212"/>
      <c r="P23" s="212"/>
      <c r="Q23" s="212"/>
      <c r="R23" s="212"/>
    </row>
    <row r="24" spans="1:18" x14ac:dyDescent="0.2">
      <c r="A24" s="208"/>
      <c r="B24" s="305" t="s">
        <v>220</v>
      </c>
      <c r="C24" s="212"/>
      <c r="D24" s="309">
        <f>ROUNDUP((D10-D20)/D23*100,0)</f>
        <v>44</v>
      </c>
      <c r="E24" s="214"/>
      <c r="F24" s="212"/>
      <c r="G24" s="212"/>
      <c r="H24" s="212"/>
      <c r="I24" s="212"/>
      <c r="J24" s="212"/>
      <c r="K24" s="212"/>
      <c r="L24" s="212"/>
      <c r="M24" s="212"/>
      <c r="N24" s="212"/>
      <c r="O24" s="212"/>
      <c r="P24" s="212"/>
      <c r="Q24" s="212"/>
      <c r="R24" s="212"/>
    </row>
    <row r="25" spans="1:18" ht="13.5" thickBot="1" x14ac:dyDescent="0.25">
      <c r="A25" s="208"/>
      <c r="B25" s="310"/>
      <c r="C25" s="225"/>
      <c r="D25" s="225"/>
      <c r="E25" s="227"/>
      <c r="F25" s="212"/>
      <c r="G25" s="212"/>
      <c r="H25" s="212"/>
      <c r="I25" s="212"/>
      <c r="J25" s="212"/>
      <c r="K25" s="212"/>
      <c r="L25" s="212"/>
      <c r="M25" s="212"/>
      <c r="N25" s="212"/>
      <c r="O25" s="212"/>
      <c r="P25" s="212"/>
      <c r="Q25" s="212"/>
      <c r="R25" s="212"/>
    </row>
    <row r="26" spans="1:18" x14ac:dyDescent="0.2">
      <c r="A26" s="208"/>
      <c r="B26" s="208"/>
      <c r="C26" s="208"/>
      <c r="D26" s="208"/>
      <c r="E26" s="208"/>
      <c r="F26" s="212"/>
      <c r="G26" s="212"/>
      <c r="H26" s="212"/>
      <c r="I26" s="212"/>
      <c r="J26" s="212"/>
      <c r="K26" s="212"/>
      <c r="L26" s="212"/>
      <c r="M26" s="212"/>
      <c r="N26" s="212"/>
      <c r="O26" s="212"/>
      <c r="P26" s="212"/>
      <c r="Q26" s="212"/>
      <c r="R26" s="212"/>
    </row>
    <row r="27" spans="1:18" x14ac:dyDescent="0.2">
      <c r="A27" s="208"/>
      <c r="B27" s="208"/>
      <c r="C27" s="208"/>
      <c r="D27" s="208"/>
      <c r="E27" s="208"/>
      <c r="F27" s="212"/>
      <c r="G27" s="212"/>
      <c r="H27" s="212"/>
      <c r="I27" s="212"/>
      <c r="J27" s="212"/>
      <c r="K27" s="212"/>
      <c r="L27" s="212"/>
      <c r="M27" s="212"/>
      <c r="N27" s="212"/>
      <c r="O27" s="212"/>
      <c r="P27" s="212"/>
      <c r="Q27" s="212"/>
      <c r="R27" s="212"/>
    </row>
    <row r="28" spans="1:18" x14ac:dyDescent="0.2">
      <c r="A28" s="208"/>
      <c r="B28" s="208"/>
      <c r="C28" s="208"/>
      <c r="D28" s="208"/>
      <c r="E28" s="208"/>
      <c r="F28" s="212"/>
      <c r="G28" s="212"/>
      <c r="H28" s="212"/>
      <c r="I28" s="212"/>
      <c r="J28" s="212"/>
      <c r="K28" s="212"/>
      <c r="L28" s="212"/>
      <c r="M28" s="212"/>
      <c r="N28" s="212"/>
      <c r="O28" s="212"/>
      <c r="P28" s="212"/>
      <c r="Q28" s="212"/>
      <c r="R28" s="212"/>
    </row>
    <row r="29" spans="1:18" x14ac:dyDescent="0.2">
      <c r="A29" s="208"/>
      <c r="B29" s="208"/>
      <c r="C29" s="208"/>
      <c r="D29" s="208"/>
      <c r="E29" s="208"/>
      <c r="F29" s="208"/>
      <c r="G29" s="208"/>
      <c r="H29" s="208"/>
      <c r="I29" s="208"/>
      <c r="J29" s="208"/>
      <c r="K29" s="208"/>
      <c r="L29" s="208"/>
      <c r="M29" s="208"/>
      <c r="N29" s="208"/>
      <c r="O29" s="208"/>
      <c r="P29" s="208"/>
      <c r="Q29" s="208"/>
    </row>
    <row r="30" spans="1:18" x14ac:dyDescent="0.2">
      <c r="A30" s="208"/>
      <c r="B30" s="208"/>
      <c r="C30" s="208"/>
      <c r="D30" s="208"/>
      <c r="E30" s="208"/>
      <c r="F30" s="208"/>
      <c r="G30" s="208"/>
      <c r="H30" s="208"/>
      <c r="I30" s="208"/>
      <c r="J30" s="208"/>
      <c r="K30" s="208"/>
      <c r="L30" s="208"/>
      <c r="M30" s="208"/>
      <c r="N30" s="208"/>
      <c r="O30" s="208"/>
      <c r="P30" s="208"/>
      <c r="Q30" s="208"/>
    </row>
    <row r="31" spans="1:18" x14ac:dyDescent="0.2">
      <c r="A31" s="208"/>
      <c r="B31" s="208"/>
      <c r="C31" s="208"/>
      <c r="D31" s="208"/>
      <c r="E31" s="208"/>
      <c r="F31" s="208"/>
      <c r="G31" s="208"/>
      <c r="H31" s="208"/>
      <c r="I31" s="208"/>
      <c r="J31" s="208"/>
      <c r="K31" s="208"/>
      <c r="L31" s="208"/>
      <c r="M31" s="208"/>
      <c r="N31" s="208"/>
      <c r="O31" s="208"/>
      <c r="P31" s="208"/>
      <c r="Q31" s="208"/>
    </row>
    <row r="32" spans="1:18" x14ac:dyDescent="0.2">
      <c r="A32" s="208"/>
      <c r="B32" s="208"/>
      <c r="C32" s="208"/>
      <c r="D32" s="208"/>
      <c r="E32" s="208"/>
      <c r="F32" s="311"/>
      <c r="G32" s="208"/>
      <c r="H32" s="311"/>
      <c r="I32" s="208"/>
      <c r="J32" s="208"/>
      <c r="K32" s="208"/>
      <c r="L32" s="208"/>
      <c r="M32" s="208"/>
      <c r="N32" s="208"/>
      <c r="O32" s="208"/>
      <c r="P32" s="208"/>
      <c r="Q32" s="208"/>
    </row>
    <row r="33" spans="1:19" x14ac:dyDescent="0.2">
      <c r="A33" s="208"/>
      <c r="B33" s="208"/>
      <c r="C33" s="208"/>
      <c r="D33" s="208"/>
      <c r="E33" s="208"/>
      <c r="F33" s="311"/>
      <c r="G33" s="208"/>
      <c r="H33" s="311"/>
      <c r="I33" s="208"/>
      <c r="J33" s="208"/>
      <c r="K33" s="208"/>
      <c r="L33" s="208"/>
      <c r="M33" s="208"/>
      <c r="N33" s="208"/>
      <c r="O33" s="208"/>
      <c r="P33" s="208"/>
      <c r="Q33" s="208"/>
      <c r="S33" s="312"/>
    </row>
    <row r="34" spans="1:19" x14ac:dyDescent="0.2">
      <c r="A34" s="208"/>
      <c r="B34" s="208"/>
      <c r="C34" s="208"/>
      <c r="D34" s="208"/>
      <c r="E34" s="208"/>
      <c r="F34" s="311"/>
      <c r="G34" s="208"/>
      <c r="H34" s="311"/>
      <c r="I34" s="208"/>
      <c r="J34" s="208"/>
      <c r="K34" s="208"/>
      <c r="L34" s="208"/>
      <c r="M34" s="208"/>
      <c r="N34" s="208"/>
      <c r="O34" s="208"/>
      <c r="P34" s="208"/>
      <c r="Q34" s="208"/>
    </row>
    <row r="35" spans="1:19" x14ac:dyDescent="0.2">
      <c r="A35" s="208"/>
      <c r="B35" s="208"/>
      <c r="C35" s="208"/>
      <c r="D35" s="208"/>
      <c r="E35" s="208"/>
      <c r="F35" s="311"/>
      <c r="G35" s="313"/>
      <c r="H35" s="311"/>
      <c r="I35" s="208"/>
      <c r="J35" s="208"/>
      <c r="K35" s="208"/>
      <c r="L35" s="208"/>
      <c r="M35" s="208"/>
      <c r="N35" s="208"/>
      <c r="O35" s="208"/>
      <c r="P35" s="208"/>
      <c r="Q35" s="208"/>
    </row>
    <row r="36" spans="1:19" x14ac:dyDescent="0.2">
      <c r="A36" s="208"/>
      <c r="B36" s="208"/>
      <c r="C36" s="208"/>
      <c r="D36" s="208"/>
      <c r="E36" s="208"/>
      <c r="F36" s="311"/>
      <c r="G36" s="208"/>
      <c r="H36" s="311"/>
      <c r="I36" s="208"/>
      <c r="J36" s="208"/>
      <c r="K36" s="208"/>
      <c r="L36" s="208"/>
      <c r="M36" s="208"/>
      <c r="N36" s="208"/>
      <c r="O36" s="208"/>
      <c r="P36" s="208"/>
      <c r="Q36" s="208"/>
    </row>
    <row r="37" spans="1:19" x14ac:dyDescent="0.2">
      <c r="A37" s="208"/>
      <c r="B37" s="208"/>
      <c r="C37" s="208"/>
      <c r="D37" s="208"/>
      <c r="E37" s="208"/>
      <c r="F37" s="208"/>
      <c r="G37" s="208"/>
      <c r="H37" s="208"/>
      <c r="I37" s="208"/>
      <c r="J37" s="208"/>
      <c r="K37" s="208"/>
      <c r="L37" s="208"/>
      <c r="M37" s="208"/>
      <c r="N37" s="208"/>
      <c r="O37" s="208"/>
      <c r="P37" s="208"/>
      <c r="Q37" s="208"/>
    </row>
    <row r="38" spans="1:19" x14ac:dyDescent="0.2">
      <c r="A38" s="208"/>
      <c r="B38" s="208"/>
      <c r="C38" s="208"/>
      <c r="D38" s="208"/>
      <c r="E38" s="208"/>
      <c r="F38" s="208"/>
      <c r="G38" s="208"/>
      <c r="H38" s="208"/>
      <c r="I38" s="208"/>
      <c r="J38" s="208"/>
      <c r="K38" s="208"/>
      <c r="L38" s="208"/>
      <c r="M38" s="208"/>
      <c r="N38" s="208"/>
      <c r="O38" s="208"/>
      <c r="P38" s="208"/>
      <c r="Q38" s="208"/>
    </row>
    <row r="39" spans="1:19" x14ac:dyDescent="0.2">
      <c r="A39" s="208"/>
      <c r="B39" s="208"/>
      <c r="C39" s="208"/>
      <c r="D39" s="208"/>
      <c r="E39" s="208"/>
      <c r="F39" s="208"/>
      <c r="G39" s="208"/>
      <c r="H39" s="208"/>
      <c r="I39" s="208"/>
      <c r="J39" s="208"/>
      <c r="K39" s="208"/>
      <c r="L39" s="208"/>
      <c r="M39" s="208"/>
      <c r="N39" s="208"/>
      <c r="O39" s="208"/>
      <c r="P39" s="208"/>
      <c r="Q39" s="208"/>
    </row>
    <row r="40" spans="1:19" x14ac:dyDescent="0.2">
      <c r="A40" s="208"/>
      <c r="B40" s="208"/>
      <c r="C40" s="208"/>
      <c r="D40" s="208"/>
      <c r="E40" s="208"/>
      <c r="F40" s="208"/>
      <c r="G40" s="208"/>
      <c r="H40" s="208"/>
      <c r="I40" s="208"/>
      <c r="J40" s="208"/>
      <c r="K40" s="208"/>
      <c r="L40" s="208"/>
      <c r="M40" s="208"/>
      <c r="N40" s="208"/>
      <c r="O40" s="208"/>
      <c r="P40" s="208"/>
      <c r="Q40" s="208"/>
    </row>
    <row r="41" spans="1:19" x14ac:dyDescent="0.2">
      <c r="A41" s="208"/>
      <c r="B41" s="208"/>
      <c r="C41" s="208"/>
      <c r="D41" s="208"/>
      <c r="E41" s="208"/>
      <c r="F41" s="208"/>
      <c r="G41" s="208"/>
      <c r="H41" s="208"/>
      <c r="I41" s="208"/>
      <c r="J41" s="208"/>
      <c r="K41" s="208"/>
      <c r="L41" s="208"/>
      <c r="M41" s="208"/>
      <c r="N41" s="208"/>
      <c r="O41" s="208"/>
      <c r="P41" s="208"/>
      <c r="Q41" s="208"/>
    </row>
    <row r="42" spans="1:19" x14ac:dyDescent="0.2">
      <c r="A42" s="208"/>
      <c r="B42" s="208"/>
      <c r="C42" s="208"/>
      <c r="D42" s="208"/>
      <c r="E42" s="208"/>
      <c r="F42" s="208"/>
      <c r="G42" s="208"/>
      <c r="H42" s="208"/>
      <c r="I42" s="208"/>
      <c r="J42" s="208"/>
      <c r="K42" s="208"/>
      <c r="L42" s="208"/>
      <c r="M42" s="208"/>
      <c r="N42" s="208"/>
      <c r="O42" s="208"/>
      <c r="P42" s="208"/>
      <c r="Q42" s="208"/>
      <c r="S42" s="312"/>
    </row>
    <row r="43" spans="1:19" x14ac:dyDescent="0.2">
      <c r="A43" s="208"/>
      <c r="B43" s="208"/>
      <c r="C43" s="208"/>
      <c r="D43" s="208"/>
      <c r="E43" s="208"/>
      <c r="F43" s="208"/>
      <c r="G43" s="208"/>
      <c r="H43" s="208"/>
      <c r="I43" s="208"/>
      <c r="J43" s="208"/>
      <c r="K43" s="208"/>
      <c r="L43" s="208"/>
      <c r="M43" s="208"/>
      <c r="N43" s="208"/>
      <c r="O43" s="208"/>
      <c r="P43" s="208"/>
      <c r="Q43" s="208"/>
    </row>
    <row r="44" spans="1:19" x14ac:dyDescent="0.2">
      <c r="A44" s="208"/>
      <c r="B44" s="208"/>
      <c r="C44" s="208"/>
      <c r="D44" s="208"/>
      <c r="E44" s="208"/>
      <c r="F44" s="208"/>
      <c r="G44" s="208"/>
      <c r="H44" s="208"/>
      <c r="I44" s="208"/>
      <c r="J44" s="208"/>
      <c r="K44" s="208"/>
      <c r="L44" s="208"/>
      <c r="M44" s="208"/>
      <c r="N44" s="208"/>
      <c r="O44" s="208"/>
      <c r="P44" s="208"/>
      <c r="Q44" s="208"/>
    </row>
    <row r="45" spans="1:19" x14ac:dyDescent="0.2">
      <c r="A45" s="208"/>
      <c r="B45" s="208"/>
      <c r="C45" s="208"/>
      <c r="D45" s="208"/>
      <c r="E45" s="208"/>
      <c r="F45" s="208"/>
      <c r="G45" s="208"/>
      <c r="H45" s="208"/>
      <c r="I45" s="208"/>
      <c r="J45" s="208"/>
      <c r="K45" s="208"/>
      <c r="L45" s="208"/>
      <c r="M45" s="208"/>
      <c r="N45" s="208"/>
      <c r="O45" s="208"/>
      <c r="P45" s="208"/>
      <c r="Q45" s="208"/>
    </row>
    <row r="46" spans="1:19" x14ac:dyDescent="0.2">
      <c r="A46" s="208"/>
      <c r="B46" s="208"/>
      <c r="C46" s="208"/>
      <c r="D46" s="208"/>
      <c r="E46" s="208"/>
      <c r="F46" s="208"/>
      <c r="G46" s="208"/>
      <c r="H46" s="208"/>
      <c r="I46" s="208"/>
      <c r="J46" s="208"/>
      <c r="K46" s="208"/>
      <c r="L46" s="208"/>
      <c r="M46" s="208"/>
      <c r="N46" s="208"/>
      <c r="O46" s="208"/>
      <c r="P46" s="208"/>
      <c r="Q46" s="208"/>
    </row>
    <row r="47" spans="1:19" x14ac:dyDescent="0.2">
      <c r="A47" s="208"/>
      <c r="B47" s="208"/>
      <c r="C47" s="208"/>
      <c r="D47" s="208"/>
      <c r="E47" s="208"/>
      <c r="F47" s="208"/>
      <c r="G47" s="208"/>
      <c r="H47" s="208"/>
      <c r="I47" s="208"/>
      <c r="J47" s="208"/>
      <c r="K47" s="208"/>
      <c r="L47" s="208"/>
      <c r="M47" s="208"/>
      <c r="N47" s="208"/>
      <c r="O47" s="208"/>
      <c r="P47" s="208"/>
      <c r="Q47" s="208"/>
    </row>
    <row r="48" spans="1:19" x14ac:dyDescent="0.2">
      <c r="A48" s="208"/>
      <c r="B48" s="208"/>
      <c r="C48" s="208"/>
      <c r="D48" s="208"/>
      <c r="E48" s="208"/>
      <c r="F48" s="208"/>
      <c r="G48" s="208"/>
      <c r="H48" s="208"/>
      <c r="I48" s="208"/>
      <c r="J48" s="208"/>
      <c r="K48" s="208"/>
      <c r="L48" s="208"/>
      <c r="M48" s="208"/>
      <c r="N48" s="208"/>
      <c r="O48" s="208"/>
      <c r="P48" s="208"/>
      <c r="Q48" s="208"/>
    </row>
    <row r="49" spans="1:17" x14ac:dyDescent="0.2">
      <c r="A49" s="208"/>
      <c r="B49" s="208"/>
      <c r="C49" s="208"/>
      <c r="D49" s="208"/>
      <c r="E49" s="208"/>
      <c r="F49" s="208"/>
      <c r="G49" s="208"/>
      <c r="H49" s="208"/>
      <c r="I49" s="208"/>
      <c r="J49" s="208"/>
      <c r="K49" s="208"/>
      <c r="L49" s="208"/>
      <c r="M49" s="208"/>
      <c r="N49" s="208"/>
      <c r="O49" s="208"/>
      <c r="P49" s="208"/>
      <c r="Q49" s="208"/>
    </row>
    <row r="50" spans="1:17" x14ac:dyDescent="0.2">
      <c r="A50" s="208"/>
      <c r="B50" s="208"/>
      <c r="C50" s="208"/>
      <c r="D50" s="208"/>
      <c r="E50" s="208"/>
      <c r="F50" s="208"/>
      <c r="G50" s="208"/>
      <c r="H50" s="208"/>
      <c r="I50" s="208"/>
      <c r="J50" s="208"/>
      <c r="K50" s="208"/>
      <c r="L50" s="208"/>
      <c r="M50" s="208"/>
      <c r="N50" s="208"/>
      <c r="O50" s="208"/>
      <c r="P50" s="208"/>
      <c r="Q50" s="208"/>
    </row>
    <row r="51" spans="1:17" x14ac:dyDescent="0.2">
      <c r="A51" s="208"/>
      <c r="B51" s="208"/>
      <c r="C51" s="208"/>
      <c r="D51" s="208"/>
      <c r="E51" s="208"/>
      <c r="F51" s="208"/>
      <c r="G51" s="208"/>
      <c r="H51" s="208"/>
      <c r="I51" s="208"/>
      <c r="J51" s="208"/>
      <c r="K51" s="208"/>
      <c r="L51" s="208"/>
      <c r="M51" s="208"/>
      <c r="N51" s="208"/>
      <c r="O51" s="208"/>
      <c r="P51" s="208"/>
      <c r="Q51" s="208"/>
    </row>
    <row r="52" spans="1:17" x14ac:dyDescent="0.2">
      <c r="A52" s="208"/>
      <c r="B52" s="208"/>
      <c r="C52" s="208"/>
      <c r="D52" s="208"/>
      <c r="E52" s="208"/>
      <c r="F52" s="208"/>
      <c r="G52" s="208"/>
      <c r="H52" s="208"/>
      <c r="I52" s="208"/>
      <c r="J52" s="208"/>
      <c r="K52" s="208"/>
      <c r="L52" s="208"/>
      <c r="M52" s="208"/>
      <c r="N52" s="208"/>
      <c r="O52" s="208"/>
      <c r="P52" s="208"/>
      <c r="Q52" s="208"/>
    </row>
    <row r="53" spans="1:17" x14ac:dyDescent="0.2">
      <c r="A53" s="208"/>
      <c r="B53" s="208"/>
      <c r="C53" s="208"/>
      <c r="D53" s="208"/>
      <c r="E53" s="208"/>
      <c r="F53" s="208"/>
      <c r="G53" s="208"/>
      <c r="H53" s="208"/>
      <c r="I53" s="208"/>
      <c r="J53" s="208"/>
      <c r="K53" s="208"/>
      <c r="L53" s="208"/>
      <c r="M53" s="208"/>
      <c r="N53" s="208"/>
      <c r="O53" s="208"/>
      <c r="P53" s="208"/>
      <c r="Q53" s="208"/>
    </row>
    <row r="54" spans="1:17" x14ac:dyDescent="0.2">
      <c r="A54" s="208"/>
      <c r="B54" s="208"/>
      <c r="C54" s="208"/>
      <c r="D54" s="208"/>
      <c r="E54" s="208"/>
      <c r="F54" s="208"/>
      <c r="G54" s="208"/>
      <c r="H54" s="208"/>
      <c r="I54" s="208"/>
      <c r="J54" s="208"/>
      <c r="K54" s="208"/>
      <c r="L54" s="208"/>
      <c r="M54" s="208"/>
      <c r="N54" s="208"/>
      <c r="O54" s="208"/>
      <c r="P54" s="208"/>
      <c r="Q54" s="208"/>
    </row>
    <row r="55" spans="1:17" x14ac:dyDescent="0.2">
      <c r="A55" s="208"/>
      <c r="B55" s="208"/>
      <c r="C55" s="208"/>
      <c r="D55" s="208"/>
      <c r="E55" s="208"/>
      <c r="F55" s="208"/>
      <c r="G55" s="208"/>
      <c r="H55" s="208"/>
      <c r="I55" s="208"/>
      <c r="J55" s="208"/>
      <c r="K55" s="208"/>
      <c r="L55" s="208"/>
      <c r="M55" s="208"/>
      <c r="N55" s="208"/>
      <c r="O55" s="208"/>
      <c r="P55" s="208"/>
      <c r="Q55" s="208"/>
    </row>
    <row r="56" spans="1:17" x14ac:dyDescent="0.2">
      <c r="A56" s="208"/>
      <c r="B56" s="208"/>
      <c r="C56" s="208"/>
      <c r="D56" s="208"/>
      <c r="E56" s="208"/>
      <c r="F56" s="208"/>
      <c r="G56" s="208"/>
      <c r="H56" s="208"/>
      <c r="I56" s="208"/>
      <c r="J56" s="208"/>
      <c r="K56" s="208"/>
      <c r="L56" s="208"/>
      <c r="M56" s="208"/>
      <c r="N56" s="208"/>
      <c r="O56" s="208"/>
      <c r="P56" s="208"/>
      <c r="Q56" s="208"/>
    </row>
    <row r="57" spans="1:17" x14ac:dyDescent="0.2">
      <c r="A57" s="208"/>
      <c r="B57" s="208"/>
      <c r="C57" s="208"/>
      <c r="D57" s="208"/>
      <c r="E57" s="208"/>
      <c r="F57" s="208"/>
      <c r="G57" s="208"/>
      <c r="H57" s="208"/>
      <c r="I57" s="208"/>
      <c r="J57" s="208"/>
      <c r="K57" s="208"/>
      <c r="L57" s="208"/>
      <c r="M57" s="208"/>
      <c r="N57" s="208"/>
      <c r="O57" s="208"/>
      <c r="P57" s="208"/>
      <c r="Q57" s="208"/>
    </row>
    <row r="58" spans="1:17" x14ac:dyDescent="0.2">
      <c r="A58" s="208"/>
      <c r="B58" s="208"/>
      <c r="C58" s="208"/>
      <c r="D58" s="208"/>
      <c r="E58" s="208"/>
      <c r="F58" s="208"/>
      <c r="G58" s="208"/>
      <c r="H58" s="208"/>
      <c r="I58" s="208"/>
      <c r="J58" s="208"/>
      <c r="K58" s="208"/>
      <c r="L58" s="208"/>
      <c r="M58" s="208"/>
      <c r="N58" s="208"/>
      <c r="O58" s="208"/>
      <c r="P58" s="208"/>
      <c r="Q58" s="208"/>
    </row>
    <row r="59" spans="1:17" x14ac:dyDescent="0.2">
      <c r="A59" s="208"/>
      <c r="B59" s="208"/>
      <c r="C59" s="208"/>
      <c r="D59" s="208"/>
      <c r="E59" s="208"/>
      <c r="F59" s="208"/>
      <c r="G59" s="208"/>
      <c r="H59" s="208"/>
      <c r="I59" s="208"/>
      <c r="J59" s="208"/>
      <c r="K59" s="208"/>
      <c r="L59" s="208"/>
      <c r="M59" s="208"/>
      <c r="N59" s="208"/>
      <c r="O59" s="208"/>
      <c r="P59" s="208"/>
      <c r="Q59" s="208"/>
    </row>
    <row r="60" spans="1:17" x14ac:dyDescent="0.2">
      <c r="A60" s="208"/>
      <c r="B60" s="208"/>
      <c r="C60" s="208"/>
      <c r="D60" s="208"/>
      <c r="E60" s="208"/>
      <c r="F60" s="208"/>
      <c r="G60" s="208"/>
      <c r="H60" s="208"/>
      <c r="I60" s="208"/>
      <c r="J60" s="208"/>
      <c r="K60" s="208"/>
      <c r="L60" s="208"/>
      <c r="M60" s="208"/>
      <c r="N60" s="208"/>
      <c r="O60" s="208"/>
      <c r="P60" s="208"/>
      <c r="Q60" s="208"/>
    </row>
    <row r="61" spans="1:17" x14ac:dyDescent="0.2">
      <c r="A61" s="208"/>
      <c r="B61" s="208"/>
      <c r="C61" s="208"/>
      <c r="D61" s="208"/>
      <c r="E61" s="208"/>
      <c r="F61" s="208"/>
      <c r="G61" s="208"/>
      <c r="H61" s="208"/>
      <c r="I61" s="208"/>
      <c r="J61" s="208"/>
      <c r="K61" s="208"/>
      <c r="L61" s="208"/>
      <c r="M61" s="208"/>
      <c r="N61" s="208"/>
      <c r="O61" s="208"/>
      <c r="P61" s="208"/>
      <c r="Q61" s="208"/>
    </row>
    <row r="62" spans="1:17" x14ac:dyDescent="0.2">
      <c r="A62" s="208"/>
      <c r="B62" s="208"/>
      <c r="C62" s="208"/>
      <c r="D62" s="208"/>
      <c r="E62" s="208"/>
      <c r="F62" s="208"/>
      <c r="G62" s="208"/>
      <c r="H62" s="208"/>
      <c r="I62" s="208"/>
      <c r="J62" s="208"/>
      <c r="K62" s="208"/>
      <c r="L62" s="208"/>
      <c r="M62" s="208"/>
      <c r="N62" s="208"/>
      <c r="O62" s="208"/>
      <c r="P62" s="208"/>
      <c r="Q62" s="208"/>
    </row>
    <row r="63" spans="1:17" x14ac:dyDescent="0.2">
      <c r="A63" s="208"/>
      <c r="B63" s="208"/>
      <c r="C63" s="208"/>
      <c r="D63" s="208"/>
      <c r="E63" s="208"/>
      <c r="F63" s="208"/>
      <c r="G63" s="208"/>
      <c r="H63" s="208"/>
      <c r="I63" s="208"/>
      <c r="J63" s="208"/>
      <c r="K63" s="208"/>
      <c r="L63" s="208"/>
      <c r="M63" s="208"/>
      <c r="N63" s="208"/>
      <c r="O63" s="208"/>
      <c r="P63" s="208"/>
      <c r="Q63" s="208"/>
    </row>
    <row r="64" spans="1:17" x14ac:dyDescent="0.2">
      <c r="A64" s="208"/>
      <c r="B64" s="208"/>
      <c r="C64" s="208"/>
      <c r="D64" s="208"/>
      <c r="E64" s="208"/>
      <c r="F64" s="208"/>
      <c r="G64" s="208"/>
      <c r="H64" s="208"/>
      <c r="I64" s="208"/>
      <c r="J64" s="208"/>
      <c r="K64" s="208"/>
      <c r="L64" s="208"/>
      <c r="M64" s="208"/>
      <c r="N64" s="208"/>
      <c r="O64" s="208"/>
      <c r="P64" s="208"/>
      <c r="Q64" s="208"/>
    </row>
    <row r="65" spans="1:17" x14ac:dyDescent="0.2">
      <c r="A65" s="208"/>
      <c r="B65" s="208"/>
      <c r="C65" s="208"/>
      <c r="D65" s="208"/>
      <c r="E65" s="208"/>
      <c r="F65" s="208"/>
      <c r="G65" s="208"/>
      <c r="H65" s="208"/>
      <c r="I65" s="208"/>
      <c r="J65" s="208"/>
      <c r="K65" s="208"/>
      <c r="L65" s="208"/>
      <c r="M65" s="208"/>
      <c r="N65" s="208"/>
      <c r="O65" s="208"/>
      <c r="P65" s="208"/>
      <c r="Q65" s="208"/>
    </row>
    <row r="66" spans="1:17" x14ac:dyDescent="0.2">
      <c r="A66" s="208"/>
      <c r="B66" s="208"/>
      <c r="C66" s="208"/>
      <c r="D66" s="208"/>
      <c r="E66" s="208"/>
      <c r="F66" s="208"/>
      <c r="G66" s="208"/>
      <c r="H66" s="208"/>
      <c r="I66" s="208"/>
      <c r="J66" s="208"/>
      <c r="K66" s="208"/>
      <c r="L66" s="208"/>
      <c r="M66" s="208"/>
      <c r="N66" s="208"/>
      <c r="O66" s="208"/>
      <c r="P66" s="208"/>
      <c r="Q66" s="208"/>
    </row>
    <row r="67" spans="1:17" x14ac:dyDescent="0.2">
      <c r="A67" s="208"/>
      <c r="B67" s="208"/>
      <c r="C67" s="208"/>
      <c r="D67" s="208"/>
      <c r="E67" s="208"/>
      <c r="F67" s="208"/>
      <c r="G67" s="208"/>
      <c r="H67" s="208"/>
      <c r="I67" s="208"/>
      <c r="J67" s="208"/>
      <c r="K67" s="208"/>
      <c r="L67" s="208"/>
      <c r="M67" s="208"/>
      <c r="N67" s="208"/>
      <c r="O67" s="208"/>
      <c r="P67" s="208"/>
      <c r="Q67" s="208"/>
    </row>
    <row r="68" spans="1:17" x14ac:dyDescent="0.2">
      <c r="A68" s="208"/>
      <c r="B68" s="208"/>
      <c r="C68" s="208"/>
      <c r="D68" s="208"/>
      <c r="E68" s="208"/>
      <c r="F68" s="208"/>
      <c r="G68" s="208"/>
      <c r="H68" s="208"/>
      <c r="I68" s="208"/>
      <c r="J68" s="208"/>
      <c r="K68" s="208"/>
      <c r="L68" s="208"/>
      <c r="M68" s="208"/>
      <c r="N68" s="208"/>
      <c r="O68" s="208"/>
      <c r="P68" s="208"/>
      <c r="Q68" s="208"/>
    </row>
    <row r="69" spans="1:17" x14ac:dyDescent="0.2">
      <c r="A69" s="208"/>
      <c r="B69" s="208"/>
      <c r="C69" s="208"/>
      <c r="D69" s="208"/>
      <c r="E69" s="208"/>
      <c r="F69" s="208"/>
      <c r="G69" s="208"/>
      <c r="H69" s="208"/>
      <c r="I69" s="208"/>
      <c r="J69" s="208"/>
      <c r="K69" s="208"/>
      <c r="L69" s="208"/>
      <c r="M69" s="208"/>
      <c r="N69" s="208"/>
      <c r="O69" s="208"/>
      <c r="P69" s="208"/>
      <c r="Q69" s="208"/>
    </row>
    <row r="70" spans="1:17" x14ac:dyDescent="0.2">
      <c r="A70" s="208"/>
      <c r="B70" s="208"/>
      <c r="C70" s="208"/>
      <c r="D70" s="208"/>
      <c r="E70" s="208"/>
      <c r="F70" s="208"/>
      <c r="G70" s="208"/>
      <c r="H70" s="208"/>
      <c r="I70" s="208"/>
      <c r="J70" s="208"/>
      <c r="K70" s="208"/>
      <c r="L70" s="208"/>
      <c r="M70" s="208"/>
      <c r="N70" s="208"/>
      <c r="O70" s="208"/>
      <c r="P70" s="208"/>
      <c r="Q70" s="208"/>
    </row>
    <row r="71" spans="1:17" x14ac:dyDescent="0.2">
      <c r="A71" s="208"/>
      <c r="B71" s="208"/>
      <c r="C71" s="208"/>
      <c r="D71" s="208"/>
      <c r="E71" s="208"/>
      <c r="F71" s="208"/>
      <c r="G71" s="208"/>
      <c r="H71" s="208"/>
      <c r="I71" s="208"/>
      <c r="J71" s="208"/>
      <c r="K71" s="208"/>
      <c r="L71" s="208"/>
      <c r="M71" s="208"/>
      <c r="N71" s="208"/>
      <c r="O71" s="208"/>
      <c r="P71" s="208"/>
      <c r="Q71" s="208"/>
    </row>
    <row r="72" spans="1:17" x14ac:dyDescent="0.2">
      <c r="A72" s="208"/>
      <c r="B72" s="208"/>
      <c r="C72" s="208"/>
      <c r="D72" s="208"/>
      <c r="E72" s="208"/>
      <c r="F72" s="208"/>
      <c r="G72" s="208"/>
      <c r="H72" s="208"/>
      <c r="I72" s="208"/>
      <c r="J72" s="208"/>
      <c r="K72" s="208"/>
      <c r="L72" s="208"/>
      <c r="M72" s="208"/>
      <c r="N72" s="208"/>
      <c r="O72" s="208"/>
      <c r="P72" s="208"/>
      <c r="Q72" s="208"/>
    </row>
    <row r="73" spans="1:17" x14ac:dyDescent="0.2">
      <c r="A73" s="208"/>
      <c r="B73" s="208"/>
      <c r="C73" s="208"/>
      <c r="D73" s="208"/>
      <c r="E73" s="208"/>
      <c r="F73" s="208"/>
      <c r="G73" s="208"/>
      <c r="H73" s="208"/>
      <c r="I73" s="208"/>
      <c r="J73" s="208"/>
      <c r="K73" s="208"/>
      <c r="L73" s="208"/>
      <c r="M73" s="208"/>
      <c r="N73" s="208"/>
      <c r="O73" s="208"/>
      <c r="P73" s="208"/>
      <c r="Q73" s="208"/>
    </row>
    <row r="74" spans="1:17" x14ac:dyDescent="0.2">
      <c r="A74" s="208"/>
      <c r="B74" s="208"/>
      <c r="C74" s="208"/>
      <c r="D74" s="208"/>
      <c r="E74" s="208"/>
      <c r="F74" s="208"/>
      <c r="G74" s="208"/>
      <c r="H74" s="208"/>
      <c r="I74" s="208"/>
      <c r="J74" s="208"/>
      <c r="K74" s="208"/>
      <c r="L74" s="208"/>
      <c r="M74" s="208"/>
      <c r="N74" s="208"/>
      <c r="O74" s="208"/>
      <c r="P74" s="208"/>
      <c r="Q74" s="208"/>
    </row>
    <row r="75" spans="1:17" x14ac:dyDescent="0.2">
      <c r="A75" s="208"/>
      <c r="B75" s="208"/>
      <c r="C75" s="208"/>
      <c r="D75" s="208"/>
      <c r="E75" s="208"/>
      <c r="F75" s="208"/>
      <c r="G75" s="208"/>
      <c r="H75" s="208"/>
      <c r="I75" s="208"/>
      <c r="J75" s="208"/>
      <c r="K75" s="208"/>
      <c r="L75" s="208"/>
      <c r="M75" s="208"/>
      <c r="N75" s="208"/>
      <c r="O75" s="208"/>
      <c r="P75" s="208"/>
      <c r="Q75" s="208"/>
    </row>
    <row r="76" spans="1:17" x14ac:dyDescent="0.2">
      <c r="A76" s="208"/>
      <c r="B76" s="208"/>
      <c r="C76" s="208"/>
      <c r="D76" s="208"/>
      <c r="E76" s="208"/>
      <c r="F76" s="208"/>
      <c r="G76" s="208"/>
      <c r="H76" s="208"/>
      <c r="I76" s="208"/>
      <c r="J76" s="208"/>
      <c r="K76" s="208"/>
      <c r="L76" s="208"/>
      <c r="M76" s="208"/>
      <c r="N76" s="208"/>
      <c r="O76" s="208"/>
      <c r="P76" s="208"/>
      <c r="Q76" s="208"/>
    </row>
    <row r="77" spans="1:17" x14ac:dyDescent="0.2">
      <c r="A77" s="208"/>
      <c r="B77" s="208"/>
      <c r="C77" s="208"/>
      <c r="D77" s="208"/>
      <c r="E77" s="208"/>
      <c r="F77" s="208"/>
      <c r="G77" s="208"/>
      <c r="H77" s="208"/>
      <c r="I77" s="208"/>
      <c r="J77" s="208"/>
      <c r="K77" s="208"/>
      <c r="L77" s="208"/>
      <c r="M77" s="208"/>
      <c r="N77" s="208"/>
      <c r="O77" s="208"/>
      <c r="P77" s="208"/>
      <c r="Q77" s="208"/>
    </row>
    <row r="78" spans="1:17" x14ac:dyDescent="0.2">
      <c r="A78" s="208"/>
      <c r="B78" s="208"/>
      <c r="C78" s="208"/>
      <c r="D78" s="208"/>
      <c r="E78" s="208"/>
      <c r="F78" s="208"/>
      <c r="G78" s="208"/>
      <c r="H78" s="208"/>
      <c r="I78" s="208"/>
      <c r="J78" s="208"/>
      <c r="K78" s="208"/>
      <c r="L78" s="208"/>
      <c r="M78" s="208"/>
      <c r="N78" s="208"/>
      <c r="O78" s="208"/>
      <c r="P78" s="208"/>
      <c r="Q78" s="208"/>
    </row>
    <row r="79" spans="1:17" x14ac:dyDescent="0.2">
      <c r="A79" s="208"/>
      <c r="B79" s="208"/>
      <c r="C79" s="208"/>
      <c r="D79" s="208"/>
      <c r="E79" s="208"/>
      <c r="F79" s="208"/>
      <c r="G79" s="208"/>
      <c r="H79" s="208"/>
      <c r="I79" s="208"/>
      <c r="J79" s="208"/>
      <c r="K79" s="208"/>
      <c r="L79" s="208"/>
      <c r="M79" s="208"/>
      <c r="N79" s="208"/>
      <c r="O79" s="208"/>
      <c r="P79" s="208"/>
      <c r="Q79" s="208"/>
    </row>
    <row r="80" spans="1:17" x14ac:dyDescent="0.2">
      <c r="A80" s="208"/>
      <c r="B80" s="208"/>
      <c r="C80" s="208"/>
      <c r="D80" s="208"/>
      <c r="E80" s="208"/>
      <c r="F80" s="208"/>
      <c r="G80" s="208"/>
      <c r="H80" s="208"/>
      <c r="I80" s="208"/>
      <c r="J80" s="208"/>
      <c r="K80" s="208"/>
      <c r="L80" s="208"/>
      <c r="M80" s="208"/>
      <c r="N80" s="208"/>
      <c r="O80" s="208"/>
      <c r="P80" s="208"/>
      <c r="Q80" s="208"/>
    </row>
    <row r="81" spans="1:17" x14ac:dyDescent="0.2">
      <c r="A81" s="208"/>
      <c r="B81" s="208"/>
      <c r="C81" s="208"/>
      <c r="D81" s="208"/>
      <c r="E81" s="208"/>
      <c r="F81" s="208"/>
      <c r="G81" s="208"/>
      <c r="H81" s="208"/>
      <c r="I81" s="208"/>
      <c r="J81" s="208"/>
      <c r="K81" s="208"/>
      <c r="L81" s="208"/>
      <c r="M81" s="208"/>
      <c r="N81" s="208"/>
      <c r="O81" s="208"/>
      <c r="P81" s="208"/>
      <c r="Q81" s="208"/>
    </row>
    <row r="82" spans="1:17" x14ac:dyDescent="0.2">
      <c r="A82" s="208"/>
      <c r="B82" s="208"/>
      <c r="C82" s="208"/>
      <c r="D82" s="208"/>
      <c r="E82" s="208"/>
      <c r="F82" s="208"/>
      <c r="G82" s="208"/>
      <c r="H82" s="208"/>
      <c r="I82" s="208"/>
      <c r="J82" s="208"/>
      <c r="K82" s="208"/>
      <c r="L82" s="208"/>
      <c r="M82" s="208"/>
      <c r="N82" s="208"/>
      <c r="O82" s="208"/>
      <c r="P82" s="208"/>
      <c r="Q82" s="208"/>
    </row>
    <row r="83" spans="1:17" x14ac:dyDescent="0.2">
      <c r="A83" s="208"/>
      <c r="B83" s="208"/>
      <c r="C83" s="208"/>
      <c r="D83" s="208"/>
      <c r="E83" s="208"/>
      <c r="F83" s="208"/>
      <c r="G83" s="208"/>
      <c r="H83" s="208"/>
      <c r="I83" s="208"/>
      <c r="J83" s="208"/>
      <c r="K83" s="208"/>
      <c r="L83" s="208"/>
      <c r="M83" s="208"/>
      <c r="N83" s="208"/>
      <c r="O83" s="208"/>
      <c r="P83" s="208"/>
      <c r="Q83" s="208"/>
    </row>
    <row r="84" spans="1:17" x14ac:dyDescent="0.2">
      <c r="A84" s="208"/>
      <c r="B84" s="208"/>
      <c r="C84" s="208"/>
      <c r="D84" s="208"/>
      <c r="E84" s="208"/>
      <c r="F84" s="208"/>
      <c r="G84" s="208"/>
      <c r="H84" s="208"/>
      <c r="I84" s="208"/>
      <c r="J84" s="208"/>
      <c r="K84" s="208"/>
      <c r="L84" s="208"/>
      <c r="M84" s="208"/>
      <c r="N84" s="208"/>
      <c r="O84" s="208"/>
      <c r="P84" s="208"/>
      <c r="Q84" s="208"/>
    </row>
    <row r="85" spans="1:17" x14ac:dyDescent="0.2">
      <c r="A85" s="208"/>
      <c r="B85" s="208"/>
      <c r="C85" s="208"/>
      <c r="D85" s="208"/>
      <c r="E85" s="208"/>
      <c r="F85" s="208"/>
      <c r="G85" s="208"/>
      <c r="H85" s="208"/>
      <c r="I85" s="208"/>
      <c r="J85" s="208"/>
      <c r="K85" s="208"/>
      <c r="L85" s="208"/>
      <c r="M85" s="208"/>
      <c r="N85" s="208"/>
      <c r="O85" s="208"/>
      <c r="P85" s="208"/>
      <c r="Q85" s="208"/>
    </row>
    <row r="86" spans="1:17" x14ac:dyDescent="0.2">
      <c r="A86" s="208"/>
      <c r="B86" s="208"/>
      <c r="C86" s="208"/>
      <c r="D86" s="208"/>
      <c r="E86" s="208"/>
      <c r="F86" s="208"/>
      <c r="G86" s="208"/>
      <c r="H86" s="208"/>
      <c r="I86" s="208"/>
      <c r="J86" s="208"/>
      <c r="K86" s="208"/>
      <c r="L86" s="208"/>
      <c r="M86" s="208"/>
      <c r="N86" s="208"/>
      <c r="O86" s="208"/>
      <c r="P86" s="208"/>
      <c r="Q86" s="208"/>
    </row>
    <row r="87" spans="1:17" x14ac:dyDescent="0.2">
      <c r="A87" s="208"/>
      <c r="B87" s="208"/>
      <c r="C87" s="208"/>
      <c r="D87" s="208"/>
      <c r="E87" s="208"/>
      <c r="F87" s="208"/>
      <c r="G87" s="208"/>
      <c r="H87" s="208"/>
      <c r="I87" s="208"/>
      <c r="J87" s="208"/>
      <c r="K87" s="208"/>
      <c r="L87" s="208"/>
      <c r="M87" s="208"/>
      <c r="N87" s="208"/>
      <c r="O87" s="208"/>
      <c r="P87" s="208"/>
      <c r="Q87" s="208"/>
    </row>
    <row r="88" spans="1:17" x14ac:dyDescent="0.2">
      <c r="A88" s="208"/>
      <c r="B88" s="208"/>
      <c r="C88" s="208"/>
      <c r="D88" s="208"/>
      <c r="E88" s="208"/>
      <c r="F88" s="208"/>
      <c r="G88" s="208"/>
      <c r="H88" s="208"/>
      <c r="I88" s="208"/>
      <c r="J88" s="208"/>
      <c r="K88" s="208"/>
      <c r="L88" s="208"/>
      <c r="M88" s="208"/>
      <c r="N88" s="208"/>
      <c r="O88" s="208"/>
      <c r="P88" s="208"/>
      <c r="Q88" s="208"/>
    </row>
    <row r="89" spans="1:17" x14ac:dyDescent="0.2">
      <c r="A89" s="208"/>
      <c r="B89" s="208"/>
      <c r="C89" s="208"/>
      <c r="D89" s="208"/>
      <c r="E89" s="208"/>
      <c r="F89" s="208"/>
      <c r="G89" s="208"/>
      <c r="H89" s="208"/>
      <c r="I89" s="208"/>
      <c r="J89" s="208"/>
      <c r="K89" s="208"/>
      <c r="L89" s="208"/>
      <c r="M89" s="208"/>
      <c r="N89" s="208"/>
      <c r="O89" s="208"/>
      <c r="P89" s="208"/>
      <c r="Q89" s="208"/>
    </row>
    <row r="90" spans="1:17" x14ac:dyDescent="0.2">
      <c r="A90" s="208"/>
      <c r="B90" s="208"/>
      <c r="C90" s="208"/>
      <c r="D90" s="208"/>
      <c r="E90" s="208"/>
      <c r="F90" s="208"/>
      <c r="G90" s="208"/>
      <c r="H90" s="208"/>
      <c r="I90" s="208"/>
      <c r="J90" s="208"/>
      <c r="K90" s="208"/>
      <c r="L90" s="208"/>
      <c r="M90" s="208"/>
      <c r="N90" s="208"/>
      <c r="O90" s="208"/>
      <c r="P90" s="208"/>
      <c r="Q90" s="208"/>
    </row>
    <row r="91" spans="1:17" x14ac:dyDescent="0.2">
      <c r="A91" s="208"/>
      <c r="B91" s="208"/>
      <c r="C91" s="208"/>
      <c r="D91" s="208"/>
      <c r="E91" s="208"/>
      <c r="F91" s="208"/>
      <c r="G91" s="208"/>
      <c r="H91" s="208"/>
      <c r="I91" s="208"/>
      <c r="J91" s="208"/>
      <c r="K91" s="208"/>
      <c r="L91" s="208"/>
      <c r="M91" s="208"/>
      <c r="N91" s="208"/>
      <c r="O91" s="208"/>
      <c r="P91" s="208"/>
      <c r="Q91" s="208"/>
    </row>
    <row r="92" spans="1:17" x14ac:dyDescent="0.2">
      <c r="A92" s="208"/>
      <c r="B92" s="208"/>
      <c r="C92" s="208"/>
      <c r="D92" s="208"/>
      <c r="E92" s="208"/>
      <c r="F92" s="208"/>
      <c r="G92" s="208"/>
      <c r="H92" s="208"/>
      <c r="I92" s="208"/>
      <c r="J92" s="208"/>
      <c r="K92" s="208"/>
      <c r="L92" s="208"/>
      <c r="M92" s="208"/>
      <c r="N92" s="208"/>
      <c r="O92" s="208"/>
      <c r="P92" s="208"/>
      <c r="Q92" s="208"/>
    </row>
    <row r="93" spans="1:17" x14ac:dyDescent="0.2">
      <c r="A93" s="208"/>
      <c r="B93" s="208"/>
      <c r="C93" s="208"/>
      <c r="D93" s="208"/>
      <c r="E93" s="208"/>
      <c r="F93" s="208"/>
      <c r="G93" s="208"/>
      <c r="H93" s="208"/>
      <c r="I93" s="208"/>
      <c r="J93" s="208"/>
      <c r="K93" s="208"/>
      <c r="L93" s="208"/>
      <c r="M93" s="208"/>
      <c r="N93" s="208"/>
      <c r="O93" s="208"/>
      <c r="P93" s="208"/>
      <c r="Q93" s="208"/>
    </row>
    <row r="94" spans="1:17" x14ac:dyDescent="0.2">
      <c r="A94" s="208"/>
      <c r="B94" s="208"/>
      <c r="C94" s="208"/>
      <c r="D94" s="208"/>
      <c r="E94" s="208"/>
      <c r="F94" s="208"/>
      <c r="G94" s="208"/>
      <c r="H94" s="208"/>
      <c r="I94" s="208"/>
      <c r="J94" s="208"/>
      <c r="K94" s="208"/>
      <c r="L94" s="208"/>
      <c r="M94" s="208"/>
      <c r="N94" s="208"/>
      <c r="O94" s="208"/>
      <c r="P94" s="208"/>
      <c r="Q94" s="208"/>
    </row>
    <row r="95" spans="1:17" x14ac:dyDescent="0.2">
      <c r="A95" s="208"/>
      <c r="B95" s="208"/>
      <c r="C95" s="208"/>
      <c r="D95" s="208"/>
      <c r="E95" s="208"/>
      <c r="F95" s="208"/>
      <c r="G95" s="208"/>
      <c r="H95" s="208"/>
      <c r="I95" s="208"/>
      <c r="J95" s="208"/>
      <c r="K95" s="208"/>
      <c r="L95" s="208"/>
      <c r="M95" s="208"/>
      <c r="N95" s="208"/>
      <c r="O95" s="208"/>
      <c r="P95" s="208"/>
      <c r="Q95" s="208"/>
    </row>
    <row r="96" spans="1:17" x14ac:dyDescent="0.2">
      <c r="A96" s="208"/>
      <c r="B96" s="208"/>
      <c r="C96" s="208"/>
      <c r="D96" s="208"/>
      <c r="E96" s="208"/>
      <c r="F96" s="208"/>
      <c r="G96" s="208"/>
      <c r="H96" s="208"/>
      <c r="I96" s="208"/>
      <c r="J96" s="208"/>
      <c r="K96" s="208"/>
      <c r="L96" s="208"/>
      <c r="M96" s="208"/>
      <c r="N96" s="208"/>
      <c r="O96" s="208"/>
      <c r="P96" s="208"/>
      <c r="Q96" s="208"/>
    </row>
    <row r="97" spans="1:17" x14ac:dyDescent="0.2">
      <c r="A97" s="208"/>
      <c r="B97" s="208"/>
      <c r="C97" s="208"/>
      <c r="D97" s="208"/>
      <c r="E97" s="208"/>
      <c r="F97" s="208"/>
      <c r="G97" s="208"/>
      <c r="H97" s="208"/>
      <c r="I97" s="208"/>
      <c r="J97" s="208"/>
      <c r="K97" s="208"/>
      <c r="L97" s="208"/>
      <c r="M97" s="208"/>
      <c r="N97" s="208"/>
      <c r="O97" s="208"/>
      <c r="P97" s="208"/>
      <c r="Q97" s="208"/>
    </row>
    <row r="98" spans="1:17" x14ac:dyDescent="0.2">
      <c r="A98" s="208"/>
      <c r="B98" s="208"/>
      <c r="C98" s="208"/>
      <c r="D98" s="208"/>
      <c r="E98" s="208"/>
      <c r="F98" s="208"/>
      <c r="G98" s="208"/>
      <c r="H98" s="208"/>
      <c r="I98" s="208"/>
      <c r="J98" s="208"/>
      <c r="K98" s="208"/>
      <c r="L98" s="208"/>
      <c r="M98" s="208"/>
      <c r="N98" s="208"/>
      <c r="O98" s="208"/>
      <c r="P98" s="208"/>
      <c r="Q98" s="208"/>
    </row>
    <row r="99" spans="1:17" x14ac:dyDescent="0.2">
      <c r="A99" s="208"/>
      <c r="B99" s="208"/>
      <c r="C99" s="208"/>
      <c r="D99" s="208"/>
      <c r="E99" s="208"/>
      <c r="F99" s="208"/>
      <c r="G99" s="208"/>
      <c r="H99" s="208"/>
      <c r="I99" s="208"/>
      <c r="J99" s="208"/>
      <c r="K99" s="208"/>
      <c r="L99" s="208"/>
      <c r="M99" s="208"/>
      <c r="N99" s="208"/>
      <c r="O99" s="208"/>
      <c r="P99" s="208"/>
      <c r="Q99" s="208"/>
    </row>
    <row r="100" spans="1:17" x14ac:dyDescent="0.2">
      <c r="A100" s="208"/>
      <c r="B100" s="208"/>
      <c r="C100" s="208"/>
      <c r="D100" s="208"/>
      <c r="E100" s="208"/>
      <c r="F100" s="208"/>
      <c r="G100" s="208"/>
      <c r="H100" s="208"/>
      <c r="I100" s="208"/>
      <c r="J100" s="208"/>
      <c r="K100" s="208"/>
      <c r="L100" s="208"/>
      <c r="M100" s="208"/>
      <c r="N100" s="208"/>
      <c r="O100" s="208"/>
      <c r="P100" s="208"/>
      <c r="Q100" s="208"/>
    </row>
    <row r="101" spans="1:17" x14ac:dyDescent="0.2">
      <c r="A101" s="208"/>
      <c r="B101" s="208"/>
      <c r="C101" s="208"/>
      <c r="D101" s="208"/>
      <c r="E101" s="208"/>
      <c r="F101" s="208"/>
      <c r="G101" s="208"/>
      <c r="H101" s="208"/>
      <c r="I101" s="208"/>
      <c r="J101" s="208"/>
      <c r="K101" s="208"/>
      <c r="L101" s="208"/>
      <c r="M101" s="208"/>
      <c r="N101" s="208"/>
      <c r="O101" s="208"/>
      <c r="P101" s="208"/>
      <c r="Q101" s="208"/>
    </row>
    <row r="102" spans="1:17" x14ac:dyDescent="0.2">
      <c r="A102" s="208"/>
      <c r="B102" s="208"/>
      <c r="C102" s="208"/>
      <c r="D102" s="208"/>
      <c r="E102" s="208"/>
      <c r="F102" s="208"/>
      <c r="G102" s="208"/>
      <c r="H102" s="208"/>
      <c r="I102" s="208"/>
      <c r="J102" s="208"/>
      <c r="K102" s="208"/>
      <c r="L102" s="208"/>
      <c r="M102" s="208"/>
      <c r="N102" s="208"/>
      <c r="O102" s="208"/>
      <c r="P102" s="208"/>
      <c r="Q102" s="208"/>
    </row>
    <row r="103" spans="1:17" x14ac:dyDescent="0.2">
      <c r="A103" s="208"/>
      <c r="B103" s="208"/>
      <c r="C103" s="208"/>
      <c r="D103" s="208"/>
      <c r="E103" s="208"/>
      <c r="F103" s="208"/>
      <c r="G103" s="208"/>
      <c r="H103" s="208"/>
      <c r="I103" s="208"/>
      <c r="J103" s="208"/>
      <c r="K103" s="208"/>
      <c r="L103" s="208"/>
      <c r="M103" s="208"/>
      <c r="N103" s="208"/>
      <c r="O103" s="208"/>
      <c r="P103" s="208"/>
      <c r="Q103" s="208"/>
    </row>
    <row r="104" spans="1:17" x14ac:dyDescent="0.2">
      <c r="A104" s="208"/>
      <c r="B104" s="208"/>
      <c r="C104" s="208"/>
      <c r="D104" s="208"/>
      <c r="E104" s="208"/>
      <c r="F104" s="208"/>
      <c r="G104" s="208"/>
      <c r="H104" s="208"/>
      <c r="I104" s="208"/>
      <c r="J104" s="208"/>
      <c r="K104" s="208"/>
      <c r="L104" s="208"/>
      <c r="M104" s="208"/>
      <c r="N104" s="208"/>
      <c r="O104" s="208"/>
      <c r="P104" s="208"/>
      <c r="Q104" s="208"/>
    </row>
    <row r="105" spans="1:17" x14ac:dyDescent="0.2">
      <c r="A105" s="208"/>
      <c r="B105" s="208"/>
      <c r="C105" s="208"/>
      <c r="D105" s="208"/>
      <c r="E105" s="208"/>
      <c r="F105" s="208"/>
      <c r="G105" s="208"/>
      <c r="H105" s="208"/>
      <c r="I105" s="208"/>
      <c r="J105" s="208"/>
      <c r="K105" s="208"/>
      <c r="L105" s="208"/>
      <c r="M105" s="208"/>
      <c r="N105" s="208"/>
      <c r="O105" s="208"/>
      <c r="P105" s="208"/>
      <c r="Q105" s="208"/>
    </row>
    <row r="106" spans="1:17" x14ac:dyDescent="0.2">
      <c r="A106" s="208"/>
      <c r="B106" s="208"/>
      <c r="C106" s="208"/>
      <c r="D106" s="208"/>
      <c r="E106" s="208"/>
      <c r="F106" s="208"/>
      <c r="G106" s="208"/>
      <c r="H106" s="208"/>
      <c r="I106" s="208"/>
      <c r="J106" s="208"/>
      <c r="K106" s="208"/>
      <c r="L106" s="208"/>
      <c r="M106" s="208"/>
      <c r="N106" s="208"/>
      <c r="O106" s="208"/>
      <c r="P106" s="208"/>
      <c r="Q106" s="208"/>
    </row>
    <row r="107" spans="1:17" x14ac:dyDescent="0.2">
      <c r="A107" s="208"/>
      <c r="B107" s="208"/>
      <c r="C107" s="208"/>
      <c r="D107" s="208"/>
      <c r="E107" s="208"/>
      <c r="F107" s="208"/>
      <c r="G107" s="208"/>
      <c r="H107" s="208"/>
      <c r="I107" s="208"/>
      <c r="J107" s="208"/>
      <c r="K107" s="208"/>
      <c r="L107" s="208"/>
      <c r="M107" s="208"/>
      <c r="N107" s="208"/>
      <c r="O107" s="208"/>
      <c r="P107" s="208"/>
      <c r="Q107" s="208"/>
    </row>
    <row r="108" spans="1:17" x14ac:dyDescent="0.2">
      <c r="A108" s="208"/>
      <c r="B108" s="208"/>
      <c r="C108" s="208"/>
      <c r="D108" s="208"/>
      <c r="E108" s="208"/>
      <c r="F108" s="208"/>
      <c r="G108" s="208"/>
      <c r="H108" s="208"/>
      <c r="I108" s="208"/>
      <c r="J108" s="208"/>
      <c r="K108" s="208"/>
      <c r="L108" s="208"/>
      <c r="M108" s="208"/>
      <c r="N108" s="208"/>
      <c r="O108" s="208"/>
      <c r="P108" s="208"/>
      <c r="Q108" s="208"/>
    </row>
    <row r="109" spans="1:17" x14ac:dyDescent="0.2">
      <c r="A109" s="208"/>
      <c r="B109" s="208"/>
      <c r="C109" s="208"/>
      <c r="D109" s="208"/>
      <c r="E109" s="208"/>
      <c r="F109" s="208"/>
      <c r="G109" s="208"/>
      <c r="H109" s="208"/>
      <c r="I109" s="208"/>
      <c r="J109" s="208"/>
      <c r="K109" s="208"/>
      <c r="L109" s="208"/>
      <c r="M109" s="208"/>
      <c r="N109" s="208"/>
      <c r="O109" s="208"/>
      <c r="P109" s="208"/>
      <c r="Q109" s="208"/>
    </row>
    <row r="110" spans="1:17" x14ac:dyDescent="0.2">
      <c r="A110" s="208"/>
      <c r="B110" s="208"/>
      <c r="C110" s="208"/>
      <c r="D110" s="208"/>
      <c r="E110" s="208"/>
      <c r="F110" s="208"/>
      <c r="G110" s="208"/>
      <c r="H110" s="208"/>
      <c r="I110" s="208"/>
      <c r="J110" s="208"/>
      <c r="K110" s="208"/>
      <c r="L110" s="208"/>
      <c r="M110" s="208"/>
      <c r="N110" s="208"/>
      <c r="O110" s="208"/>
      <c r="P110" s="208"/>
      <c r="Q110" s="208"/>
    </row>
    <row r="111" spans="1:17" x14ac:dyDescent="0.2">
      <c r="A111" s="208"/>
      <c r="B111" s="208"/>
      <c r="C111" s="208"/>
      <c r="D111" s="208"/>
      <c r="E111" s="208"/>
      <c r="F111" s="208"/>
      <c r="G111" s="208"/>
      <c r="H111" s="208"/>
      <c r="I111" s="208"/>
      <c r="J111" s="208"/>
      <c r="K111" s="208"/>
      <c r="L111" s="208"/>
      <c r="M111" s="208"/>
      <c r="N111" s="208"/>
      <c r="O111" s="208"/>
      <c r="P111" s="208"/>
      <c r="Q111" s="208"/>
    </row>
    <row r="112" spans="1:17" x14ac:dyDescent="0.2">
      <c r="A112" s="208"/>
      <c r="B112" s="208"/>
      <c r="C112" s="208"/>
      <c r="D112" s="208"/>
      <c r="E112" s="208"/>
      <c r="F112" s="208"/>
      <c r="G112" s="208"/>
      <c r="H112" s="208"/>
      <c r="I112" s="208"/>
      <c r="J112" s="208"/>
      <c r="K112" s="208"/>
      <c r="L112" s="208"/>
      <c r="M112" s="208"/>
      <c r="N112" s="208"/>
      <c r="O112" s="208"/>
      <c r="P112" s="208"/>
      <c r="Q112" s="208"/>
    </row>
    <row r="113" spans="1:17" x14ac:dyDescent="0.2">
      <c r="A113" s="208"/>
      <c r="B113" s="208"/>
      <c r="C113" s="208"/>
      <c r="D113" s="208"/>
      <c r="E113" s="208"/>
      <c r="F113" s="208"/>
      <c r="G113" s="208"/>
      <c r="H113" s="208"/>
      <c r="I113" s="208"/>
      <c r="J113" s="208"/>
      <c r="K113" s="208"/>
      <c r="L113" s="208"/>
      <c r="M113" s="208"/>
      <c r="N113" s="208"/>
      <c r="O113" s="208"/>
      <c r="P113" s="208"/>
      <c r="Q113" s="208"/>
    </row>
    <row r="114" spans="1:17" x14ac:dyDescent="0.2">
      <c r="A114" s="208"/>
      <c r="B114" s="208"/>
      <c r="C114" s="208"/>
      <c r="D114" s="208"/>
      <c r="E114" s="208"/>
      <c r="F114" s="208"/>
      <c r="G114" s="208"/>
      <c r="H114" s="208"/>
      <c r="I114" s="208"/>
      <c r="J114" s="208"/>
      <c r="K114" s="208"/>
      <c r="L114" s="208"/>
      <c r="M114" s="208"/>
      <c r="N114" s="208"/>
      <c r="O114" s="208"/>
      <c r="P114" s="208"/>
      <c r="Q114" s="208"/>
    </row>
    <row r="115" spans="1:17" x14ac:dyDescent="0.2">
      <c r="A115" s="208"/>
      <c r="B115" s="208"/>
      <c r="C115" s="208"/>
      <c r="D115" s="208"/>
      <c r="E115" s="208"/>
      <c r="F115" s="208"/>
      <c r="G115" s="208"/>
      <c r="H115" s="208"/>
      <c r="I115" s="208"/>
      <c r="J115" s="208"/>
      <c r="K115" s="208"/>
      <c r="L115" s="208"/>
      <c r="M115" s="208"/>
      <c r="N115" s="208"/>
      <c r="O115" s="208"/>
      <c r="P115" s="208"/>
      <c r="Q115" s="208"/>
    </row>
    <row r="116" spans="1:17" x14ac:dyDescent="0.2">
      <c r="A116" s="208"/>
      <c r="B116" s="208"/>
      <c r="C116" s="208"/>
      <c r="D116" s="208"/>
      <c r="E116" s="208"/>
      <c r="F116" s="208"/>
      <c r="G116" s="208"/>
      <c r="H116" s="208"/>
      <c r="I116" s="208"/>
      <c r="J116" s="208"/>
      <c r="K116" s="208"/>
      <c r="L116" s="208"/>
      <c r="M116" s="208"/>
      <c r="N116" s="208"/>
      <c r="O116" s="208"/>
      <c r="P116" s="208"/>
      <c r="Q116" s="208"/>
    </row>
    <row r="117" spans="1:17" x14ac:dyDescent="0.2">
      <c r="A117" s="208"/>
      <c r="B117" s="208"/>
      <c r="C117" s="208"/>
      <c r="D117" s="208"/>
      <c r="E117" s="208"/>
      <c r="F117" s="208"/>
      <c r="G117" s="208"/>
      <c r="H117" s="208"/>
      <c r="I117" s="208"/>
      <c r="J117" s="208"/>
      <c r="K117" s="208"/>
      <c r="L117" s="208"/>
      <c r="M117" s="208"/>
      <c r="N117" s="208"/>
      <c r="O117" s="208"/>
      <c r="P117" s="208"/>
      <c r="Q117" s="208"/>
    </row>
    <row r="118" spans="1:17" x14ac:dyDescent="0.2">
      <c r="A118" s="208"/>
      <c r="B118" s="208"/>
      <c r="C118" s="208"/>
      <c r="D118" s="208"/>
      <c r="E118" s="208"/>
      <c r="F118" s="208"/>
      <c r="G118" s="208"/>
      <c r="H118" s="208"/>
      <c r="I118" s="208"/>
      <c r="J118" s="208"/>
      <c r="K118" s="208"/>
      <c r="L118" s="208"/>
      <c r="M118" s="208"/>
      <c r="N118" s="208"/>
      <c r="O118" s="208"/>
      <c r="P118" s="208"/>
      <c r="Q118" s="208"/>
    </row>
    <row r="119" spans="1:17" x14ac:dyDescent="0.2">
      <c r="A119" s="208"/>
      <c r="B119" s="208"/>
      <c r="C119" s="208"/>
      <c r="D119" s="208"/>
      <c r="E119" s="208"/>
      <c r="F119" s="208"/>
      <c r="G119" s="208"/>
      <c r="H119" s="208"/>
      <c r="I119" s="208"/>
      <c r="J119" s="208"/>
      <c r="K119" s="208"/>
      <c r="L119" s="208"/>
      <c r="M119" s="208"/>
      <c r="N119" s="208"/>
      <c r="O119" s="208"/>
      <c r="P119" s="208"/>
      <c r="Q119" s="208"/>
    </row>
  </sheetData>
  <sheetProtection password="B2FB" sheet="1" objects="1" scenarios="1"/>
  <protectedRanges>
    <protectedRange sqref="A29:IV200" name="Range2"/>
    <protectedRange sqref="S1:IV65536" name="Range1"/>
  </protectedRanges>
  <phoneticPr fontId="2"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9" tint="-0.249977111117893"/>
  </sheetPr>
  <dimension ref="A2:W137"/>
  <sheetViews>
    <sheetView topLeftCell="A13" workbookViewId="0">
      <selection activeCell="D57" sqref="D57"/>
    </sheetView>
  </sheetViews>
  <sheetFormatPr defaultRowHeight="12.75" x14ac:dyDescent="0.2"/>
  <cols>
    <col min="1" max="1" width="33.42578125" bestFit="1" customWidth="1"/>
    <col min="2" max="2" width="12.42578125" customWidth="1"/>
    <col min="3" max="4" width="13.42578125" customWidth="1"/>
    <col min="11" max="11" width="12.85546875" customWidth="1"/>
    <col min="16" max="16" width="36.42578125" customWidth="1"/>
    <col min="17" max="17" width="18.140625" customWidth="1"/>
  </cols>
  <sheetData>
    <row r="2" spans="1:17" s="283" customFormat="1" x14ac:dyDescent="0.2">
      <c r="A2" s="278" t="s">
        <v>430</v>
      </c>
      <c r="B2" s="278"/>
      <c r="C2" s="278"/>
      <c r="D2" s="278"/>
      <c r="E2" s="278"/>
      <c r="F2" s="278"/>
      <c r="G2" s="278"/>
      <c r="H2" s="278"/>
      <c r="I2" s="278"/>
      <c r="J2" s="278"/>
      <c r="K2" s="278"/>
      <c r="L2" s="278"/>
      <c r="M2" s="278"/>
      <c r="N2" s="278"/>
      <c r="O2" s="278"/>
      <c r="P2" s="278"/>
      <c r="Q2" s="278"/>
    </row>
    <row r="3" spans="1:17" s="1" customFormat="1" x14ac:dyDescent="0.2">
      <c r="B3" s="1" t="s">
        <v>3</v>
      </c>
      <c r="C3" s="1" t="s">
        <v>4</v>
      </c>
      <c r="D3" s="1" t="s">
        <v>123</v>
      </c>
      <c r="E3" s="1" t="s">
        <v>6</v>
      </c>
      <c r="F3" s="1" t="s">
        <v>7</v>
      </c>
      <c r="G3" s="1" t="s">
        <v>8</v>
      </c>
      <c r="H3" s="1" t="s">
        <v>9</v>
      </c>
      <c r="I3" s="1" t="s">
        <v>10</v>
      </c>
      <c r="J3" s="1" t="s">
        <v>11</v>
      </c>
      <c r="K3" s="1" t="s">
        <v>12</v>
      </c>
      <c r="L3" s="1" t="s">
        <v>13</v>
      </c>
      <c r="M3" s="1" t="s">
        <v>14</v>
      </c>
    </row>
    <row r="4" spans="1:17" x14ac:dyDescent="0.2">
      <c r="A4" s="47" t="s">
        <v>106</v>
      </c>
      <c r="B4" s="47"/>
      <c r="C4" s="47"/>
      <c r="D4" s="47"/>
      <c r="E4" s="47"/>
      <c r="F4" s="47"/>
      <c r="G4" s="47"/>
      <c r="H4" s="47"/>
      <c r="I4" s="47"/>
      <c r="J4" s="47"/>
      <c r="K4" s="47"/>
      <c r="L4" s="47"/>
      <c r="M4" s="47"/>
      <c r="N4" s="2"/>
      <c r="O4" s="2"/>
      <c r="P4" s="2"/>
    </row>
    <row r="5" spans="1:17" x14ac:dyDescent="0.2">
      <c r="A5" s="18"/>
      <c r="B5" s="18"/>
      <c r="C5" s="18"/>
      <c r="D5" s="18"/>
      <c r="E5" s="18"/>
      <c r="F5" s="18"/>
      <c r="G5" s="18"/>
      <c r="H5" s="18"/>
      <c r="I5" s="18"/>
      <c r="J5" s="18"/>
      <c r="K5" s="18"/>
      <c r="L5" s="18"/>
      <c r="M5" s="18"/>
    </row>
    <row r="6" spans="1:17" x14ac:dyDescent="0.2">
      <c r="A6" s="29" t="s">
        <v>72</v>
      </c>
      <c r="B6" s="29">
        <v>2.6783999999999999</v>
      </c>
      <c r="C6" s="29">
        <v>2.4192</v>
      </c>
      <c r="D6" s="29">
        <v>2.6783999999999999</v>
      </c>
      <c r="E6" s="29">
        <v>2.5920000000000001</v>
      </c>
      <c r="F6" s="29">
        <v>2.6783999999999999</v>
      </c>
      <c r="G6" s="29">
        <v>2.5920000000000001</v>
      </c>
      <c r="H6" s="29">
        <v>2.6783999999999999</v>
      </c>
      <c r="I6" s="29">
        <v>2.6783999999999999</v>
      </c>
      <c r="J6" s="29">
        <v>2.5920000000000001</v>
      </c>
      <c r="K6" s="29">
        <v>2.6783999999999999</v>
      </c>
      <c r="L6" s="29">
        <v>2.5920000000000001</v>
      </c>
      <c r="M6" s="29">
        <v>2.6783999999999999</v>
      </c>
      <c r="N6" t="s">
        <v>124</v>
      </c>
      <c r="P6" s="38" t="s">
        <v>305</v>
      </c>
      <c r="Q6" s="128">
        <f>SUMPRODUCT(B6:M6,B7:M7)</f>
        <v>324.64799999999997</v>
      </c>
    </row>
    <row r="7" spans="1:17" x14ac:dyDescent="0.2">
      <c r="A7" s="29" t="s">
        <v>73</v>
      </c>
      <c r="B7" s="29">
        <v>3.2</v>
      </c>
      <c r="C7" s="29">
        <v>3.9</v>
      </c>
      <c r="D7" s="29">
        <v>5.9</v>
      </c>
      <c r="E7" s="29">
        <v>9.1999999999999993</v>
      </c>
      <c r="F7" s="29">
        <v>13.3</v>
      </c>
      <c r="G7" s="29">
        <v>16.2</v>
      </c>
      <c r="H7" s="29">
        <v>17.600000000000001</v>
      </c>
      <c r="I7" s="29">
        <v>17.600000000000001</v>
      </c>
      <c r="J7" s="29">
        <v>15.2</v>
      </c>
      <c r="K7" s="29">
        <v>11.2</v>
      </c>
      <c r="L7" s="29">
        <v>6.3</v>
      </c>
      <c r="M7" s="29">
        <v>3.5</v>
      </c>
      <c r="N7" t="s">
        <v>125</v>
      </c>
      <c r="P7" s="38" t="s">
        <v>306</v>
      </c>
      <c r="Q7" s="128">
        <f>Q6/SUM(B6:M6)</f>
        <v>10.294520547945206</v>
      </c>
    </row>
    <row r="8" spans="1:17" ht="15.75" x14ac:dyDescent="0.3">
      <c r="A8" s="29" t="s">
        <v>177</v>
      </c>
      <c r="B8" s="29">
        <v>16</v>
      </c>
      <c r="C8" s="29">
        <v>16</v>
      </c>
      <c r="D8" s="29">
        <v>16</v>
      </c>
      <c r="E8" s="29">
        <v>16</v>
      </c>
      <c r="F8" s="29">
        <v>16</v>
      </c>
      <c r="G8" s="29">
        <v>18.2</v>
      </c>
      <c r="H8" s="29">
        <v>19.600000000000001</v>
      </c>
      <c r="I8" s="29">
        <v>19.600000000000001</v>
      </c>
      <c r="J8" s="29">
        <v>17.2</v>
      </c>
      <c r="K8" s="29">
        <v>16</v>
      </c>
      <c r="L8" s="29">
        <v>16</v>
      </c>
      <c r="M8" s="29">
        <v>16</v>
      </c>
      <c r="N8" t="s">
        <v>125</v>
      </c>
      <c r="P8">
        <f>AVERAGE(B7,C7,D7,L7,M7)</f>
        <v>4.5600000000000005</v>
      </c>
    </row>
    <row r="9" spans="1:17" ht="15.75" x14ac:dyDescent="0.3">
      <c r="A9" s="18" t="s">
        <v>175</v>
      </c>
      <c r="B9" s="18">
        <v>23</v>
      </c>
      <c r="C9" s="18">
        <v>23</v>
      </c>
      <c r="D9" s="18">
        <v>23</v>
      </c>
      <c r="E9" s="18">
        <v>23</v>
      </c>
      <c r="F9" s="18">
        <v>23</v>
      </c>
      <c r="G9" s="18">
        <v>23</v>
      </c>
      <c r="H9" s="18">
        <v>23</v>
      </c>
      <c r="I9" s="18">
        <v>23</v>
      </c>
      <c r="J9" s="18">
        <v>23</v>
      </c>
      <c r="K9" s="18">
        <v>23</v>
      </c>
      <c r="L9" s="18">
        <v>23</v>
      </c>
      <c r="M9" s="18">
        <v>23</v>
      </c>
      <c r="N9" t="s">
        <v>125</v>
      </c>
    </row>
    <row r="10" spans="1:17" ht="15.75" x14ac:dyDescent="0.3">
      <c r="A10" s="18" t="s">
        <v>176</v>
      </c>
      <c r="B10" s="18">
        <v>23</v>
      </c>
      <c r="C10" s="18">
        <v>23</v>
      </c>
      <c r="D10" s="18">
        <v>23</v>
      </c>
      <c r="E10" s="18">
        <v>23</v>
      </c>
      <c r="F10" s="18">
        <v>23</v>
      </c>
      <c r="G10" s="18">
        <v>23</v>
      </c>
      <c r="H10" s="18">
        <v>23</v>
      </c>
      <c r="I10" s="18">
        <v>23</v>
      </c>
      <c r="J10" s="18">
        <v>23</v>
      </c>
      <c r="K10" s="18">
        <v>23</v>
      </c>
      <c r="L10" s="18">
        <v>23</v>
      </c>
      <c r="M10" s="18">
        <v>23</v>
      </c>
      <c r="N10" t="s">
        <v>125</v>
      </c>
    </row>
    <row r="11" spans="1:17" ht="15.75" x14ac:dyDescent="0.3">
      <c r="A11" s="18" t="s">
        <v>166</v>
      </c>
      <c r="B11" s="38">
        <v>19</v>
      </c>
      <c r="C11" s="38">
        <f t="shared" ref="C11:M11" si="0">B11</f>
        <v>19</v>
      </c>
      <c r="D11" s="38">
        <f t="shared" si="0"/>
        <v>19</v>
      </c>
      <c r="E11" s="38">
        <f t="shared" si="0"/>
        <v>19</v>
      </c>
      <c r="F11" s="38">
        <f t="shared" si="0"/>
        <v>19</v>
      </c>
      <c r="G11" s="38">
        <f t="shared" si="0"/>
        <v>19</v>
      </c>
      <c r="H11" s="38">
        <f t="shared" si="0"/>
        <v>19</v>
      </c>
      <c r="I11" s="38">
        <f t="shared" si="0"/>
        <v>19</v>
      </c>
      <c r="J11" s="38">
        <f t="shared" si="0"/>
        <v>19</v>
      </c>
      <c r="K11" s="38">
        <f t="shared" si="0"/>
        <v>19</v>
      </c>
      <c r="L11" s="38">
        <f t="shared" si="0"/>
        <v>19</v>
      </c>
      <c r="M11" s="38">
        <f t="shared" si="0"/>
        <v>19</v>
      </c>
      <c r="N11" t="s">
        <v>125</v>
      </c>
    </row>
    <row r="12" spans="1:17" x14ac:dyDescent="0.2">
      <c r="A12" s="33" t="s">
        <v>107</v>
      </c>
      <c r="B12" s="35"/>
      <c r="C12" s="35"/>
      <c r="D12" s="35"/>
      <c r="E12" s="35"/>
      <c r="F12" s="35"/>
      <c r="G12" s="35"/>
      <c r="H12" s="35"/>
      <c r="I12" s="35"/>
      <c r="J12" s="35"/>
      <c r="K12" s="35"/>
      <c r="L12" s="35"/>
      <c r="M12" s="35"/>
    </row>
    <row r="13" spans="1:17" ht="13.5" thickBot="1" x14ac:dyDescent="0.25">
      <c r="A13" s="29"/>
      <c r="B13" s="29"/>
      <c r="C13" s="29"/>
      <c r="D13" s="29"/>
      <c r="F13" s="122" t="s">
        <v>27</v>
      </c>
      <c r="G13" s="29"/>
      <c r="H13" s="29"/>
      <c r="I13" s="29"/>
      <c r="J13" s="29"/>
      <c r="K13" s="29"/>
      <c r="L13" s="29"/>
      <c r="M13" s="29"/>
    </row>
    <row r="14" spans="1:17" ht="16.5" thickBot="1" x14ac:dyDescent="0.35">
      <c r="A14" s="18" t="s">
        <v>102</v>
      </c>
      <c r="B14" s="254">
        <v>0.8</v>
      </c>
      <c r="C14" s="29"/>
      <c r="D14" s="29"/>
      <c r="F14" s="32"/>
      <c r="G14" s="29"/>
      <c r="H14" s="29"/>
      <c r="I14" s="29"/>
      <c r="J14" s="29"/>
      <c r="K14" s="29"/>
      <c r="L14" s="29"/>
      <c r="M14" s="29"/>
      <c r="Q14" s="41"/>
    </row>
    <row r="15" spans="1:17" ht="15.75" x14ac:dyDescent="0.3">
      <c r="A15" s="29" t="s">
        <v>167</v>
      </c>
      <c r="B15" s="71">
        <v>1</v>
      </c>
      <c r="C15" s="29" t="s">
        <v>148</v>
      </c>
      <c r="D15" s="72"/>
      <c r="F15" s="32">
        <v>0.3</v>
      </c>
      <c r="G15" s="29"/>
      <c r="H15" s="29"/>
      <c r="I15" s="29"/>
      <c r="J15" s="29"/>
      <c r="K15" s="29"/>
      <c r="L15" s="29"/>
      <c r="M15" s="29"/>
      <c r="N15" s="30"/>
      <c r="O15" s="18" t="s">
        <v>102</v>
      </c>
      <c r="P15" t="s">
        <v>232</v>
      </c>
      <c r="Q15" s="41">
        <v>0.3</v>
      </c>
    </row>
    <row r="16" spans="1:17" ht="15.75" x14ac:dyDescent="0.3">
      <c r="A16" s="29" t="s">
        <v>168</v>
      </c>
      <c r="B16" s="71">
        <v>1</v>
      </c>
      <c r="C16" s="29" t="s">
        <v>149</v>
      </c>
      <c r="D16" s="62"/>
      <c r="F16" s="32">
        <v>0.3</v>
      </c>
      <c r="G16" s="18"/>
      <c r="H16" s="18"/>
      <c r="I16" s="18"/>
      <c r="J16" s="18"/>
      <c r="K16" s="18"/>
      <c r="L16" s="18"/>
      <c r="M16" s="18"/>
      <c r="P16" t="s">
        <v>233</v>
      </c>
      <c r="Q16" s="41">
        <v>0</v>
      </c>
    </row>
    <row r="17" spans="1:22" ht="15.75" x14ac:dyDescent="0.3">
      <c r="A17" s="53" t="s">
        <v>169</v>
      </c>
      <c r="B17" s="71">
        <v>1</v>
      </c>
      <c r="C17" s="18" t="s">
        <v>150</v>
      </c>
      <c r="D17" s="62"/>
      <c r="F17" s="32">
        <v>0.3</v>
      </c>
      <c r="G17" s="18"/>
      <c r="H17" s="18"/>
      <c r="I17" s="18"/>
      <c r="J17" s="18"/>
      <c r="K17" s="18"/>
      <c r="L17" s="18"/>
      <c r="M17" s="18"/>
      <c r="P17" t="s">
        <v>234</v>
      </c>
      <c r="Q17" s="41">
        <v>0.6</v>
      </c>
    </row>
    <row r="18" spans="1:22" ht="15.75" x14ac:dyDescent="0.3">
      <c r="A18" s="18" t="s">
        <v>170</v>
      </c>
      <c r="B18" s="73">
        <f>IF(Gegevensinvoer!C56=0,1,MIN(Gegevensinvoer!C53/Gegevensinvoer!C56,1))</f>
        <v>1</v>
      </c>
      <c r="C18" s="18" t="s">
        <v>151</v>
      </c>
      <c r="D18" s="18"/>
      <c r="F18" s="86">
        <v>1</v>
      </c>
      <c r="G18" s="18"/>
      <c r="H18" s="18"/>
      <c r="I18" s="18"/>
      <c r="J18" s="18"/>
      <c r="K18" s="18"/>
      <c r="L18" s="18"/>
      <c r="M18" s="18"/>
      <c r="P18" t="s">
        <v>235</v>
      </c>
      <c r="Q18" s="41">
        <v>0.8</v>
      </c>
    </row>
    <row r="19" spans="1:22" x14ac:dyDescent="0.2">
      <c r="A19" s="18"/>
      <c r="B19" s="73"/>
      <c r="C19" s="18"/>
      <c r="D19" s="18"/>
      <c r="E19" s="62"/>
      <c r="F19" s="18"/>
      <c r="G19" s="18"/>
      <c r="H19" s="18"/>
      <c r="I19" s="18"/>
      <c r="J19" s="18"/>
      <c r="K19" s="18"/>
      <c r="L19" s="18"/>
      <c r="M19" s="18"/>
      <c r="P19" t="s">
        <v>236</v>
      </c>
      <c r="Q19" s="41">
        <v>0.5</v>
      </c>
    </row>
    <row r="20" spans="1:22" x14ac:dyDescent="0.2">
      <c r="A20" s="33" t="s">
        <v>208</v>
      </c>
      <c r="B20" s="33"/>
      <c r="C20" s="33"/>
      <c r="D20" s="33"/>
      <c r="E20" s="33"/>
      <c r="F20" s="33"/>
      <c r="G20" s="33"/>
      <c r="H20" s="33"/>
      <c r="I20" s="18"/>
      <c r="J20" s="18"/>
      <c r="K20" s="18"/>
      <c r="L20" s="18"/>
      <c r="M20" s="18"/>
      <c r="Q20" s="41"/>
    </row>
    <row r="21" spans="1:22" x14ac:dyDescent="0.2">
      <c r="A21" s="47" t="s">
        <v>209</v>
      </c>
      <c r="B21" s="47"/>
      <c r="C21" s="47"/>
      <c r="D21" s="47"/>
      <c r="E21" s="47"/>
      <c r="F21" s="47"/>
      <c r="G21" s="47"/>
      <c r="H21" s="47"/>
      <c r="I21" s="18"/>
      <c r="J21" s="18"/>
      <c r="K21" s="18"/>
      <c r="L21" s="18"/>
      <c r="M21" s="18"/>
      <c r="P21" t="s">
        <v>237</v>
      </c>
      <c r="Q21" s="41"/>
    </row>
    <row r="22" spans="1:22" x14ac:dyDescent="0.2">
      <c r="A22" s="77" t="s">
        <v>204</v>
      </c>
      <c r="B22" s="78">
        <v>2</v>
      </c>
      <c r="C22" s="79" t="s">
        <v>207</v>
      </c>
      <c r="D22" s="3"/>
      <c r="E22" s="3"/>
      <c r="F22" s="3"/>
      <c r="G22" s="3"/>
      <c r="H22" s="3"/>
      <c r="I22" s="18"/>
      <c r="J22" s="18"/>
      <c r="K22" s="18"/>
      <c r="L22" s="18"/>
      <c r="M22" s="18"/>
      <c r="Q22" s="41"/>
    </row>
    <row r="23" spans="1:22" x14ac:dyDescent="0.2">
      <c r="A23" s="77" t="s">
        <v>205</v>
      </c>
      <c r="B23" s="78">
        <v>4</v>
      </c>
      <c r="C23" s="79" t="s">
        <v>206</v>
      </c>
      <c r="D23" s="3"/>
      <c r="E23" s="3"/>
      <c r="F23" s="3"/>
      <c r="G23" s="3"/>
      <c r="H23" s="3"/>
      <c r="I23" s="18"/>
      <c r="J23" s="18"/>
      <c r="K23" s="18"/>
      <c r="L23" s="18"/>
      <c r="M23" s="18"/>
      <c r="Q23" s="41"/>
    </row>
    <row r="24" spans="1:22" x14ac:dyDescent="0.2">
      <c r="A24" s="77" t="s">
        <v>210</v>
      </c>
      <c r="B24" s="78">
        <v>10</v>
      </c>
      <c r="C24" s="79" t="s">
        <v>206</v>
      </c>
      <c r="D24" s="3"/>
      <c r="E24" s="3"/>
      <c r="F24" s="3"/>
      <c r="G24" s="3"/>
      <c r="H24" s="3"/>
      <c r="I24" s="18"/>
      <c r="J24" s="18"/>
      <c r="K24" s="18"/>
      <c r="L24" s="18"/>
      <c r="M24" s="18"/>
    </row>
    <row r="25" spans="1:22" x14ac:dyDescent="0.2">
      <c r="A25" s="77" t="s">
        <v>264</v>
      </c>
      <c r="B25" s="136">
        <v>1.3</v>
      </c>
      <c r="C25" s="79" t="s">
        <v>265</v>
      </c>
      <c r="D25" s="3"/>
      <c r="E25" s="3"/>
      <c r="F25" s="3"/>
      <c r="G25" s="3"/>
      <c r="H25" s="3"/>
      <c r="I25" s="18"/>
      <c r="J25" s="18"/>
      <c r="K25" s="18"/>
      <c r="L25" s="18"/>
      <c r="M25" s="18"/>
    </row>
    <row r="26" spans="1:22" x14ac:dyDescent="0.2">
      <c r="A26" s="18"/>
      <c r="B26" s="73"/>
      <c r="C26" s="18"/>
      <c r="D26" s="18"/>
      <c r="E26" s="62"/>
      <c r="F26" s="18"/>
      <c r="G26" s="18"/>
      <c r="H26" s="18"/>
      <c r="I26" s="18"/>
      <c r="J26" s="18"/>
      <c r="K26" s="18"/>
      <c r="L26" s="18"/>
      <c r="M26" s="18"/>
    </row>
    <row r="27" spans="1:22" x14ac:dyDescent="0.2">
      <c r="A27" s="18"/>
      <c r="B27" s="18"/>
      <c r="C27" s="18"/>
      <c r="D27" s="18"/>
      <c r="E27" s="18"/>
      <c r="F27" s="18"/>
      <c r="G27" s="18"/>
      <c r="H27" s="18"/>
      <c r="I27" s="18"/>
      <c r="J27" s="18"/>
      <c r="K27" s="18"/>
      <c r="L27" s="18"/>
      <c r="M27" s="18"/>
    </row>
    <row r="28" spans="1:22" x14ac:dyDescent="0.2">
      <c r="A28" s="33" t="s">
        <v>66</v>
      </c>
      <c r="B28" s="35"/>
      <c r="C28" s="35"/>
      <c r="D28" s="35"/>
      <c r="E28" s="35"/>
      <c r="F28" s="35"/>
      <c r="G28" s="35"/>
      <c r="H28" s="35"/>
      <c r="I28" s="35"/>
      <c r="J28" s="35"/>
      <c r="K28" s="35"/>
      <c r="L28" s="35"/>
      <c r="M28" s="35"/>
    </row>
    <row r="30" spans="1:22" x14ac:dyDescent="0.2">
      <c r="A30" s="19"/>
      <c r="B30" s="20" t="s">
        <v>97</v>
      </c>
      <c r="C30" s="21"/>
      <c r="D30" s="20" t="s">
        <v>91</v>
      </c>
      <c r="E30" s="20" t="s">
        <v>212</v>
      </c>
      <c r="F30" s="20" t="s">
        <v>213</v>
      </c>
      <c r="G30" s="82"/>
      <c r="O30" s="26"/>
      <c r="P30" s="20" t="s">
        <v>2</v>
      </c>
      <c r="Q30" s="21" t="s">
        <v>91</v>
      </c>
      <c r="R30" s="3"/>
      <c r="S30" s="3"/>
      <c r="T30" s="3"/>
      <c r="U30" s="3"/>
      <c r="V30" s="3"/>
    </row>
    <row r="31" spans="1:22" x14ac:dyDescent="0.2">
      <c r="A31" s="83" t="s">
        <v>92</v>
      </c>
      <c r="B31" s="89">
        <f>(80*12+100*12*0.5*1.3)/24</f>
        <v>72.5</v>
      </c>
      <c r="C31" s="90" t="s">
        <v>88</v>
      </c>
      <c r="D31" s="91">
        <f>100/B23*D33</f>
        <v>12.5</v>
      </c>
      <c r="E31" s="91">
        <f>100/B24*E33</f>
        <v>5</v>
      </c>
      <c r="F31" s="91"/>
      <c r="G31" s="92" t="s">
        <v>67</v>
      </c>
      <c r="O31" s="23" t="s">
        <v>92</v>
      </c>
      <c r="P31" s="24" t="s">
        <v>103</v>
      </c>
      <c r="Q31" s="25" t="s">
        <v>211</v>
      </c>
      <c r="R31" s="3" t="s">
        <v>100</v>
      </c>
      <c r="S31" s="3"/>
      <c r="T31" s="3"/>
      <c r="U31" s="3"/>
      <c r="V31" s="3"/>
    </row>
    <row r="32" spans="1:22" x14ac:dyDescent="0.2">
      <c r="A32" s="83" t="s">
        <v>96</v>
      </c>
      <c r="B32" s="93">
        <f>(150*9+150/4*15)/24</f>
        <v>79.6875</v>
      </c>
      <c r="C32" s="25" t="s">
        <v>88</v>
      </c>
      <c r="D32" s="80">
        <f>2*D33</f>
        <v>1</v>
      </c>
      <c r="E32" s="80">
        <f>D32</f>
        <v>1</v>
      </c>
      <c r="F32" s="80"/>
      <c r="G32" s="94" t="s">
        <v>67</v>
      </c>
      <c r="O32" s="23" t="s">
        <v>93</v>
      </c>
      <c r="P32" s="24" t="s">
        <v>94</v>
      </c>
      <c r="Q32" s="25" t="s">
        <v>98</v>
      </c>
      <c r="R32" s="3"/>
      <c r="S32" s="3"/>
      <c r="T32" s="3"/>
      <c r="U32" s="3"/>
      <c r="V32" s="3"/>
    </row>
    <row r="33" spans="1:23" ht="13.5" thickBot="1" x14ac:dyDescent="0.25">
      <c r="A33" s="84" t="s">
        <v>84</v>
      </c>
      <c r="B33" s="95"/>
      <c r="C33" s="96"/>
      <c r="D33" s="97">
        <v>0.5</v>
      </c>
      <c r="E33" s="97">
        <v>0.5</v>
      </c>
      <c r="F33" s="97"/>
      <c r="G33" s="98"/>
      <c r="O33" s="23"/>
      <c r="P33" s="24"/>
      <c r="Q33" s="25"/>
      <c r="R33" s="3"/>
      <c r="S33" s="3"/>
      <c r="T33" s="3"/>
      <c r="U33" s="3"/>
      <c r="V33" s="3"/>
    </row>
    <row r="34" spans="1:23" x14ac:dyDescent="0.2">
      <c r="A34" s="23" t="s">
        <v>15</v>
      </c>
      <c r="B34" s="93">
        <f>B31+B32</f>
        <v>152.1875</v>
      </c>
      <c r="C34" s="25" t="s">
        <v>88</v>
      </c>
      <c r="D34" s="80">
        <f>D31+D32</f>
        <v>13.5</v>
      </c>
      <c r="E34" s="80">
        <f>E31+E32</f>
        <v>6</v>
      </c>
      <c r="F34" s="80">
        <f>F31+F32</f>
        <v>0</v>
      </c>
      <c r="G34" s="94" t="s">
        <v>67</v>
      </c>
      <c r="O34" s="23"/>
      <c r="P34" s="24"/>
      <c r="Q34" s="25"/>
      <c r="R34" s="3"/>
      <c r="S34" s="3"/>
      <c r="T34" s="3"/>
      <c r="U34" s="3"/>
      <c r="V34" s="3"/>
    </row>
    <row r="35" spans="1:23" x14ac:dyDescent="0.2">
      <c r="A35" s="23"/>
      <c r="B35" s="4"/>
      <c r="C35" s="25"/>
      <c r="D35" s="80"/>
      <c r="E35" s="80"/>
      <c r="F35" s="80"/>
      <c r="G35" s="94"/>
      <c r="O35" s="23"/>
      <c r="P35" s="24"/>
      <c r="Q35" s="25"/>
      <c r="R35" s="3"/>
      <c r="S35" s="3"/>
      <c r="T35" s="3"/>
      <c r="U35" s="3"/>
      <c r="V35" s="3"/>
    </row>
    <row r="36" spans="1:23" x14ac:dyDescent="0.2">
      <c r="A36" s="83" t="s">
        <v>87</v>
      </c>
      <c r="B36" s="417" t="s">
        <v>214</v>
      </c>
      <c r="C36" s="418"/>
      <c r="D36" s="418"/>
      <c r="E36" s="418"/>
      <c r="F36" s="418"/>
      <c r="G36" s="94"/>
      <c r="O36" s="23" t="s">
        <v>87</v>
      </c>
      <c r="P36" s="24" t="s">
        <v>101</v>
      </c>
      <c r="Q36" s="25" t="s">
        <v>101</v>
      </c>
      <c r="T36" s="3"/>
      <c r="U36" s="3"/>
      <c r="V36" s="3"/>
    </row>
    <row r="37" spans="1:23" x14ac:dyDescent="0.2">
      <c r="A37" s="85" t="s">
        <v>86</v>
      </c>
      <c r="B37" s="415">
        <f>Gegevensinvoer!C64*Gegevensinvoer!C65/(365*24)</f>
        <v>1.3664383561643836</v>
      </c>
      <c r="C37" s="416"/>
      <c r="D37" s="416"/>
      <c r="E37" s="416"/>
      <c r="F37" s="416"/>
      <c r="G37" s="99" t="s">
        <v>67</v>
      </c>
      <c r="O37" s="22" t="s">
        <v>86</v>
      </c>
      <c r="P37" s="27" t="s">
        <v>195</v>
      </c>
      <c r="Q37" s="28" t="s">
        <v>195</v>
      </c>
      <c r="R37" s="3"/>
      <c r="S37" s="3"/>
      <c r="T37" s="3"/>
      <c r="U37" s="3"/>
      <c r="V37" s="3"/>
    </row>
    <row r="38" spans="1:23" x14ac:dyDescent="0.2">
      <c r="O38" s="67"/>
      <c r="P38" s="81"/>
      <c r="Q38" s="81"/>
      <c r="R38" s="18"/>
      <c r="S38" s="18"/>
      <c r="T38" s="18"/>
      <c r="U38" s="18"/>
      <c r="V38" s="18"/>
      <c r="W38" s="18"/>
    </row>
    <row r="41" spans="1:23" x14ac:dyDescent="0.2">
      <c r="A41" s="47" t="s">
        <v>194</v>
      </c>
      <c r="B41" s="47"/>
      <c r="C41" s="48"/>
      <c r="D41" s="48"/>
      <c r="E41" s="47"/>
      <c r="F41" s="47"/>
      <c r="G41" s="48"/>
      <c r="H41" s="48"/>
      <c r="I41" s="33"/>
      <c r="J41" s="29"/>
      <c r="K41" s="29"/>
      <c r="L41" s="29"/>
      <c r="Q41" s="29"/>
    </row>
    <row r="42" spans="1:23" x14ac:dyDescent="0.2">
      <c r="A42" s="29"/>
      <c r="B42" s="29"/>
      <c r="C42" s="32"/>
      <c r="D42" s="32"/>
      <c r="E42" s="32"/>
      <c r="F42" s="29"/>
      <c r="G42" s="29"/>
      <c r="H42" s="29"/>
      <c r="I42" s="29"/>
      <c r="J42" s="29"/>
      <c r="K42" s="30"/>
      <c r="Q42" s="29"/>
    </row>
    <row r="43" spans="1:23" x14ac:dyDescent="0.2">
      <c r="A43" s="64" t="s">
        <v>60</v>
      </c>
      <c r="B43" s="277">
        <f>IF(Gegevensinvoer!C26=0,55*Gegevensinvoer!C17,Gegevensinvoer!C26)</f>
        <v>65571</v>
      </c>
      <c r="C43" s="67" t="s">
        <v>61</v>
      </c>
      <c r="D43" s="32"/>
      <c r="E43" s="29"/>
      <c r="F43" s="29"/>
      <c r="G43" s="29"/>
      <c r="H43" s="29"/>
      <c r="I43" s="29"/>
      <c r="J43" s="29"/>
      <c r="K43" s="30"/>
      <c r="Q43" s="29"/>
    </row>
    <row r="44" spans="1:23" x14ac:dyDescent="0.2">
      <c r="A44" s="64" t="s">
        <v>64</v>
      </c>
      <c r="B44" s="100">
        <f>Gegevensinvoer!C14</f>
        <v>2177.86</v>
      </c>
      <c r="C44" s="67" t="s">
        <v>65</v>
      </c>
      <c r="D44" s="32"/>
      <c r="E44" s="29"/>
      <c r="F44" s="29"/>
      <c r="G44" s="29"/>
      <c r="H44" s="29"/>
      <c r="I44" s="29"/>
      <c r="J44" s="29"/>
      <c r="K44" s="29"/>
      <c r="Q44" s="29"/>
    </row>
    <row r="45" spans="1:23" x14ac:dyDescent="0.2">
      <c r="A45" s="29" t="s">
        <v>172</v>
      </c>
      <c r="B45" s="262">
        <f>B46</f>
        <v>860.81592578339564</v>
      </c>
      <c r="C45" s="32" t="s">
        <v>71</v>
      </c>
      <c r="D45" s="32"/>
      <c r="E45" s="29"/>
      <c r="F45" s="29"/>
      <c r="G45" s="29"/>
      <c r="H45" s="29"/>
      <c r="I45" s="29"/>
      <c r="J45" s="29"/>
      <c r="K45" s="29"/>
      <c r="Q45" s="29"/>
    </row>
    <row r="46" spans="1:23" x14ac:dyDescent="0.2">
      <c r="A46" s="29" t="s">
        <v>173</v>
      </c>
      <c r="B46" s="276">
        <f>(ResultatenEPB!C13/(Parameters!B11-Parameters!B7)/Parameters!B6)</f>
        <v>860.81592578339564</v>
      </c>
      <c r="C46" s="32" t="s">
        <v>71</v>
      </c>
      <c r="D46" s="32"/>
      <c r="E46" s="29"/>
      <c r="F46" s="29"/>
      <c r="G46" s="29"/>
      <c r="H46" s="29"/>
      <c r="I46" s="29"/>
      <c r="J46" s="29"/>
      <c r="K46" s="29"/>
      <c r="Q46" s="29"/>
    </row>
    <row r="47" spans="1:23" x14ac:dyDescent="0.2">
      <c r="A47" s="29"/>
      <c r="B47" s="68"/>
      <c r="C47" s="32"/>
      <c r="D47" s="32"/>
      <c r="E47" s="29"/>
      <c r="F47" s="29"/>
      <c r="G47" s="29"/>
      <c r="H47" s="29"/>
      <c r="I47" s="29"/>
      <c r="J47" s="29"/>
      <c r="K47" s="29"/>
      <c r="Q47" s="29"/>
    </row>
    <row r="48" spans="1:23" x14ac:dyDescent="0.2">
      <c r="A48" s="47" t="s">
        <v>139</v>
      </c>
      <c r="B48" s="47"/>
      <c r="C48" s="48"/>
      <c r="D48" s="48"/>
      <c r="E48" s="47"/>
      <c r="F48" s="47"/>
      <c r="G48" s="48"/>
      <c r="H48" s="48"/>
      <c r="I48" s="33"/>
      <c r="J48" s="29"/>
      <c r="K48" s="29"/>
      <c r="L48" s="29"/>
      <c r="Q48" s="29"/>
    </row>
    <row r="49" spans="1:17" ht="15.75" x14ac:dyDescent="0.3">
      <c r="A49" s="37" t="s">
        <v>140</v>
      </c>
      <c r="B49" s="30" t="s">
        <v>155</v>
      </c>
      <c r="C49" s="50" t="s">
        <v>141</v>
      </c>
      <c r="D49" s="50" t="s">
        <v>63</v>
      </c>
      <c r="E49" s="30" t="s">
        <v>156</v>
      </c>
      <c r="F49" s="30" t="s">
        <v>157</v>
      </c>
      <c r="G49" s="29"/>
      <c r="H49" s="29"/>
      <c r="I49" s="29"/>
      <c r="J49" s="29"/>
      <c r="K49" s="29"/>
      <c r="L49" s="29"/>
      <c r="Q49" s="29"/>
    </row>
    <row r="50" spans="1:17" x14ac:dyDescent="0.2">
      <c r="A50" s="30" t="s">
        <v>110</v>
      </c>
      <c r="B50" s="188">
        <f>IF(Gegevensinvoer!C48="D",Gegevensinvoer!C53,0)</f>
        <v>5515</v>
      </c>
      <c r="C50" s="187">
        <f>K50</f>
        <v>0.33032142857142854</v>
      </c>
      <c r="D50" s="107">
        <v>1</v>
      </c>
      <c r="E50" s="127">
        <f>B50*C50*Parameters!$B$15*Parameters!$B$18</f>
        <v>1821.7226785714283</v>
      </c>
      <c r="F50" s="127">
        <f>B50*D50*Parameters!$B$16</f>
        <v>5515</v>
      </c>
      <c r="G50" s="29"/>
      <c r="H50" s="29"/>
      <c r="I50" s="29"/>
      <c r="J50" t="s">
        <v>244</v>
      </c>
      <c r="K50" s="40">
        <f>(B50-K51*MIN(B50,B55)+MAX(0,B55-B50))/MAX(B50,B55)</f>
        <v>0.33032142857142854</v>
      </c>
      <c r="Q50" s="29"/>
    </row>
    <row r="51" spans="1:17" ht="13.5" thickBot="1" x14ac:dyDescent="0.25">
      <c r="A51" s="30" t="s">
        <v>174</v>
      </c>
      <c r="B51" s="188">
        <f>IF(Gegevensinvoer!C48="C",Gegevensinvoer!C53,0)</f>
        <v>0</v>
      </c>
      <c r="C51" s="108">
        <v>1</v>
      </c>
      <c r="D51" s="108">
        <v>1</v>
      </c>
      <c r="E51" s="127">
        <f>B51*C51*Parameters!$B$15*Parameters!$B$18</f>
        <v>0</v>
      </c>
      <c r="F51" s="127">
        <f>B51*D51*Parameters!$B$16</f>
        <v>0</v>
      </c>
      <c r="G51" s="29"/>
      <c r="H51" s="29"/>
      <c r="I51" s="29"/>
      <c r="J51" t="s">
        <v>245</v>
      </c>
      <c r="K51" s="117">
        <f>K52*K53</f>
        <v>0.68</v>
      </c>
      <c r="Q51" s="29"/>
    </row>
    <row r="52" spans="1:17" ht="13.5" thickBot="1" x14ac:dyDescent="0.25">
      <c r="A52" s="30" t="s">
        <v>15</v>
      </c>
      <c r="B52" s="126">
        <f>SUM(B50:B51)</f>
        <v>5515</v>
      </c>
      <c r="C52" s="101"/>
      <c r="D52" s="101"/>
      <c r="E52" s="126">
        <f>SUM(E50:E51)</f>
        <v>1821.7226785714283</v>
      </c>
      <c r="F52" s="126">
        <f>SUM(F50:F51)</f>
        <v>5515</v>
      </c>
      <c r="G52" s="29"/>
      <c r="H52" s="29"/>
      <c r="I52" s="29"/>
      <c r="J52" t="s">
        <v>246</v>
      </c>
      <c r="K52" s="271">
        <f>Gegevensinvoer!C50</f>
        <v>0.8</v>
      </c>
      <c r="Q52" s="29"/>
    </row>
    <row r="53" spans="1:17" x14ac:dyDescent="0.2">
      <c r="A53" s="30"/>
      <c r="B53" s="30" t="s">
        <v>69</v>
      </c>
      <c r="C53" s="51" t="s">
        <v>68</v>
      </c>
      <c r="D53" s="51" t="s">
        <v>68</v>
      </c>
      <c r="E53" s="30" t="s">
        <v>69</v>
      </c>
      <c r="F53" s="30" t="s">
        <v>69</v>
      </c>
      <c r="G53" s="29"/>
      <c r="H53" s="29"/>
      <c r="I53" s="29"/>
      <c r="J53" s="29" t="s">
        <v>247</v>
      </c>
      <c r="K53" s="29">
        <v>0.85</v>
      </c>
      <c r="L53" s="29"/>
      <c r="M53" s="30" t="s">
        <v>248</v>
      </c>
      <c r="N53" s="30"/>
      <c r="O53" s="30"/>
      <c r="P53" s="30"/>
      <c r="Q53" s="29"/>
    </row>
    <row r="54" spans="1:17" x14ac:dyDescent="0.2">
      <c r="A54" s="30"/>
      <c r="B54" s="30"/>
      <c r="C54" s="51"/>
      <c r="D54" s="51"/>
      <c r="E54" s="30"/>
      <c r="F54" s="30"/>
      <c r="G54" s="29"/>
      <c r="H54" s="29"/>
      <c r="I54" s="29"/>
      <c r="J54" s="29"/>
      <c r="K54" s="29"/>
      <c r="L54" s="29"/>
      <c r="M54" s="29"/>
      <c r="N54" s="29"/>
      <c r="O54" s="29"/>
      <c r="P54" s="29"/>
      <c r="Q54" s="29"/>
    </row>
    <row r="55" spans="1:17" x14ac:dyDescent="0.2">
      <c r="A55" s="30" t="s">
        <v>142</v>
      </c>
      <c r="B55" s="103">
        <f>Gegevensinvoer!C54</f>
        <v>5600</v>
      </c>
      <c r="C55" s="30" t="s">
        <v>69</v>
      </c>
      <c r="D55" s="29"/>
      <c r="E55" s="30"/>
      <c r="F55" s="30"/>
      <c r="H55" s="29"/>
      <c r="I55" s="29"/>
      <c r="J55" s="29"/>
      <c r="K55" s="29"/>
      <c r="L55" s="29"/>
      <c r="M55" s="29"/>
      <c r="N55" s="29"/>
      <c r="O55" s="29"/>
      <c r="P55" s="29"/>
      <c r="Q55" s="29"/>
    </row>
    <row r="56" spans="1:17" x14ac:dyDescent="0.2">
      <c r="A56" s="30"/>
      <c r="B56" s="29"/>
      <c r="C56" s="30"/>
      <c r="D56" s="29"/>
      <c r="E56" s="30"/>
      <c r="F56" s="30"/>
      <c r="H56" s="29"/>
      <c r="I56" s="29"/>
      <c r="J56" s="29"/>
      <c r="K56" s="29"/>
      <c r="L56" s="29"/>
      <c r="M56" s="29"/>
      <c r="N56" s="29"/>
      <c r="O56" s="29"/>
      <c r="P56" s="29"/>
      <c r="Q56" s="29"/>
    </row>
    <row r="57" spans="1:17" ht="15.75" x14ac:dyDescent="0.3">
      <c r="A57" s="52" t="s">
        <v>158</v>
      </c>
      <c r="B57" s="262">
        <f>0.34*($B$62+$E$52)</f>
        <v>663.8140547142857</v>
      </c>
      <c r="C57" s="54" t="s">
        <v>143</v>
      </c>
      <c r="D57" s="29"/>
      <c r="E57" s="30"/>
      <c r="F57" s="30"/>
      <c r="H57" s="29"/>
      <c r="I57" s="29"/>
      <c r="J57" s="29"/>
      <c r="K57" s="29"/>
      <c r="L57" s="29"/>
      <c r="M57" s="29"/>
      <c r="N57" s="29"/>
      <c r="O57" s="29"/>
      <c r="P57" s="29"/>
      <c r="Q57" s="29"/>
    </row>
    <row r="58" spans="1:17" ht="15.75" x14ac:dyDescent="0.3">
      <c r="A58" s="52" t="s">
        <v>159</v>
      </c>
      <c r="B58" s="262">
        <f>0.34*($B$63+$F$52)</f>
        <v>2230.5267520000002</v>
      </c>
      <c r="C58" s="54" t="s">
        <v>143</v>
      </c>
      <c r="D58" s="130"/>
      <c r="E58" s="30"/>
      <c r="F58" s="30"/>
      <c r="H58" s="29"/>
      <c r="I58" s="29"/>
      <c r="J58" s="29"/>
      <c r="K58" s="29"/>
      <c r="L58" s="29"/>
      <c r="M58" s="29"/>
      <c r="N58" s="29"/>
      <c r="O58" s="29"/>
      <c r="P58" s="29"/>
      <c r="Q58" s="29"/>
    </row>
    <row r="59" spans="1:17" x14ac:dyDescent="0.2">
      <c r="A59" s="29"/>
      <c r="B59" s="101"/>
      <c r="C59" s="101"/>
      <c r="D59" s="101"/>
      <c r="E59" s="101"/>
      <c r="F59" s="101"/>
      <c r="G59" s="101"/>
      <c r="H59" s="29"/>
      <c r="K59" s="41"/>
      <c r="O59" s="29"/>
      <c r="P59" s="29"/>
      <c r="Q59" s="29"/>
    </row>
    <row r="60" spans="1:17" x14ac:dyDescent="0.2">
      <c r="A60" s="47" t="s">
        <v>136</v>
      </c>
      <c r="B60" s="48"/>
      <c r="C60" s="49"/>
      <c r="D60" s="48"/>
      <c r="E60" s="48"/>
      <c r="F60" s="48"/>
      <c r="G60" s="48"/>
      <c r="H60" s="48"/>
      <c r="I60" s="33"/>
      <c r="J60" s="29"/>
      <c r="K60" s="29"/>
      <c r="L60" s="29"/>
      <c r="M60" s="29"/>
      <c r="P60" s="30"/>
      <c r="Q60" s="29"/>
    </row>
    <row r="61" spans="1:17" ht="15.75" x14ac:dyDescent="0.3">
      <c r="A61" s="30" t="s">
        <v>152</v>
      </c>
      <c r="B61" s="274">
        <f>Gegevensinvoer!C25</f>
        <v>1.5</v>
      </c>
      <c r="C61" t="s">
        <v>137</v>
      </c>
      <c r="D61" s="29"/>
      <c r="E61" s="129"/>
      <c r="F61" s="29"/>
      <c r="G61" s="29"/>
      <c r="H61" s="29"/>
      <c r="I61" s="29"/>
      <c r="J61" s="29"/>
      <c r="K61" s="123" t="s">
        <v>254</v>
      </c>
      <c r="L61" s="123" t="s">
        <v>253</v>
      </c>
      <c r="M61" s="29"/>
      <c r="P61" s="30"/>
      <c r="Q61" s="29"/>
    </row>
    <row r="62" spans="1:17" ht="15.75" x14ac:dyDescent="0.3">
      <c r="A62" s="30" t="s">
        <v>153</v>
      </c>
      <c r="B62" s="88">
        <f>0.04*B61*B44</f>
        <v>130.67160000000001</v>
      </c>
      <c r="C62" t="s">
        <v>138</v>
      </c>
      <c r="D62" s="29"/>
      <c r="E62" s="29"/>
      <c r="F62" s="29"/>
      <c r="G62" s="29"/>
      <c r="H62" s="29"/>
      <c r="I62" s="29"/>
      <c r="J62" s="29"/>
      <c r="K62" s="124" t="e">
        <f>#REF!*L62</f>
        <v>#REF!</v>
      </c>
      <c r="L62" s="124">
        <v>2</v>
      </c>
      <c r="M62" s="29"/>
      <c r="P62" s="30"/>
      <c r="Q62" s="29"/>
    </row>
    <row r="63" spans="1:17" ht="15.75" x14ac:dyDescent="0.3">
      <c r="A63" s="30" t="s">
        <v>154</v>
      </c>
      <c r="B63" s="88">
        <f>0.48*B44</f>
        <v>1045.3728000000001</v>
      </c>
      <c r="C63" t="s">
        <v>138</v>
      </c>
      <c r="D63" s="29"/>
      <c r="E63" s="29"/>
      <c r="F63" s="29"/>
      <c r="G63" s="29"/>
      <c r="H63" s="29"/>
      <c r="I63" s="29"/>
      <c r="J63" s="29"/>
      <c r="K63" s="29"/>
      <c r="L63" s="29"/>
      <c r="M63" s="29"/>
      <c r="P63" s="30"/>
      <c r="Q63" s="29"/>
    </row>
    <row r="64" spans="1:17" x14ac:dyDescent="0.2">
      <c r="A64" s="29"/>
      <c r="B64" s="29"/>
      <c r="C64" s="29"/>
      <c r="D64" s="29"/>
      <c r="E64" s="29"/>
      <c r="F64" s="29"/>
      <c r="G64" s="29"/>
      <c r="H64" s="29"/>
      <c r="I64" s="29"/>
      <c r="J64" s="29"/>
      <c r="K64" s="29"/>
      <c r="L64" s="29"/>
      <c r="M64" s="29"/>
      <c r="N64" s="29"/>
      <c r="O64" s="29"/>
      <c r="P64" s="30"/>
      <c r="Q64" s="29"/>
    </row>
    <row r="65" spans="1:17" x14ac:dyDescent="0.2">
      <c r="A65" s="55" t="s">
        <v>144</v>
      </c>
      <c r="B65" s="55"/>
      <c r="C65" s="87" t="s">
        <v>241</v>
      </c>
      <c r="D65" s="87"/>
      <c r="E65" s="116"/>
      <c r="F65" s="87"/>
      <c r="G65" s="87"/>
      <c r="H65" s="87"/>
      <c r="I65" s="87"/>
      <c r="J65" s="29"/>
      <c r="K65" s="29"/>
      <c r="L65" s="29"/>
      <c r="Q65" s="29"/>
    </row>
    <row r="66" spans="1:17" x14ac:dyDescent="0.2">
      <c r="A66" s="55" t="s">
        <v>145</v>
      </c>
      <c r="B66" s="55"/>
      <c r="C66" s="56"/>
      <c r="D66" s="48"/>
      <c r="E66" s="48"/>
      <c r="F66" s="56"/>
      <c r="G66" s="48"/>
      <c r="H66" s="48"/>
      <c r="I66" s="33"/>
      <c r="J66" s="29"/>
      <c r="K66" s="29"/>
      <c r="L66" s="29"/>
      <c r="Q66" s="29"/>
    </row>
    <row r="67" spans="1:17" ht="15.75" x14ac:dyDescent="0.3">
      <c r="A67" s="57" t="s">
        <v>160</v>
      </c>
      <c r="B67" s="58">
        <f>IF(Gegevensinvoer!C70=0,0.55,0.85)</f>
        <v>0.85</v>
      </c>
      <c r="C67" s="59" t="s">
        <v>68</v>
      </c>
      <c r="D67" s="29" t="s">
        <v>242</v>
      </c>
      <c r="E67" s="29"/>
      <c r="F67" s="29"/>
      <c r="G67" s="29"/>
      <c r="H67" s="29"/>
      <c r="I67" s="29"/>
      <c r="J67" s="29"/>
      <c r="K67" s="29"/>
      <c r="L67" s="29"/>
      <c r="Q67" s="29"/>
    </row>
    <row r="68" spans="1:17" ht="15.75" x14ac:dyDescent="0.3">
      <c r="A68" s="57" t="s">
        <v>161</v>
      </c>
      <c r="B68" s="272">
        <f>B67*B50</f>
        <v>4687.75</v>
      </c>
      <c r="C68" s="32" t="s">
        <v>89</v>
      </c>
      <c r="D68" s="29"/>
      <c r="E68" s="29"/>
      <c r="F68" s="29"/>
      <c r="G68" s="29"/>
      <c r="H68" s="29"/>
      <c r="I68" s="29"/>
      <c r="J68" s="29"/>
      <c r="K68" s="29"/>
      <c r="L68" s="29"/>
      <c r="Q68" s="29"/>
    </row>
    <row r="69" spans="1:17" x14ac:dyDescent="0.2">
      <c r="A69" s="55" t="s">
        <v>146</v>
      </c>
      <c r="B69" s="60"/>
      <c r="C69" s="61"/>
      <c r="D69" s="49"/>
      <c r="E69" s="49"/>
      <c r="F69" s="34"/>
      <c r="G69" s="34"/>
      <c r="H69" s="34"/>
      <c r="I69" s="33"/>
      <c r="J69" s="18"/>
    </row>
    <row r="70" spans="1:17" ht="15.75" x14ac:dyDescent="0.3">
      <c r="A70" s="53" t="s">
        <v>162</v>
      </c>
      <c r="B70" s="263">
        <f>Gegevensinvoer!C52</f>
        <v>0.65</v>
      </c>
      <c r="C70" s="59" t="s">
        <v>68</v>
      </c>
      <c r="H70" s="101"/>
      <c r="I70" s="39"/>
      <c r="J70" s="18"/>
    </row>
    <row r="71" spans="1:17" ht="15.75" x14ac:dyDescent="0.3">
      <c r="A71" s="53" t="s">
        <v>163</v>
      </c>
      <c r="B71" s="262">
        <f>IF(B75=0,0,VLOOKUP(B75,K72:M74,3,FALSE)*B72)</f>
        <v>2315.625</v>
      </c>
      <c r="C71" s="57" t="s">
        <v>89</v>
      </c>
      <c r="H71" s="101"/>
      <c r="I71" s="39"/>
      <c r="J71" s="18"/>
      <c r="L71" s="101" t="s">
        <v>239</v>
      </c>
      <c r="M71" s="101" t="s">
        <v>240</v>
      </c>
    </row>
    <row r="72" spans="1:17" ht="15.75" x14ac:dyDescent="0.3">
      <c r="A72" s="53" t="s">
        <v>164</v>
      </c>
      <c r="B72" s="262">
        <f>B50+B55</f>
        <v>11115</v>
      </c>
      <c r="C72" s="57" t="s">
        <v>69</v>
      </c>
      <c r="D72" t="s">
        <v>252</v>
      </c>
      <c r="H72" s="65"/>
      <c r="I72" s="65"/>
      <c r="J72" s="18"/>
      <c r="K72">
        <v>1</v>
      </c>
      <c r="L72" s="101">
        <v>500</v>
      </c>
      <c r="M72" s="115">
        <f>L72/3600</f>
        <v>0.1388888888888889</v>
      </c>
    </row>
    <row r="73" spans="1:17" ht="15.75" x14ac:dyDescent="0.3">
      <c r="A73" s="53" t="s">
        <v>165</v>
      </c>
      <c r="B73" s="275">
        <f>B72</f>
        <v>11115</v>
      </c>
      <c r="C73" s="57" t="s">
        <v>69</v>
      </c>
      <c r="H73" s="65"/>
      <c r="I73" s="65"/>
      <c r="J73" s="18"/>
      <c r="K73">
        <v>2</v>
      </c>
      <c r="L73" s="101">
        <v>750</v>
      </c>
      <c r="M73" s="115">
        <f>L73/3600</f>
        <v>0.20833333333333334</v>
      </c>
    </row>
    <row r="74" spans="1:17" ht="13.5" thickBot="1" x14ac:dyDescent="0.25">
      <c r="A74" s="65"/>
      <c r="B74" s="65"/>
      <c r="C74" s="57"/>
      <c r="H74" s="16"/>
      <c r="I74" s="16"/>
      <c r="K74">
        <v>3</v>
      </c>
      <c r="L74" s="101">
        <v>1250</v>
      </c>
      <c r="M74" s="115">
        <f>L74/3600</f>
        <v>0.34722222222222221</v>
      </c>
    </row>
    <row r="75" spans="1:17" ht="13.5" thickBot="1" x14ac:dyDescent="0.25">
      <c r="A75" s="53" t="s">
        <v>387</v>
      </c>
      <c r="B75" s="273">
        <f>Gegevensinvoer!C51</f>
        <v>2</v>
      </c>
      <c r="C75" s="57"/>
      <c r="D75" s="16"/>
      <c r="F75" s="16"/>
      <c r="G75" s="115"/>
      <c r="H75" s="16"/>
      <c r="I75" s="16"/>
    </row>
    <row r="76" spans="1:17" x14ac:dyDescent="0.2">
      <c r="A76" s="53"/>
      <c r="B76" s="109"/>
      <c r="C76" s="57"/>
      <c r="D76" s="30"/>
      <c r="E76" s="30"/>
      <c r="F76" s="30"/>
      <c r="G76" s="30"/>
      <c r="H76" s="30"/>
      <c r="I76" s="30"/>
      <c r="J76" s="30"/>
      <c r="K76" s="30"/>
      <c r="L76" s="30"/>
      <c r="M76" s="30"/>
      <c r="N76" s="30"/>
      <c r="O76" s="30"/>
      <c r="P76" s="30"/>
      <c r="Q76" s="30"/>
    </row>
    <row r="79" spans="1:17" x14ac:dyDescent="0.2">
      <c r="A79" s="33" t="s">
        <v>105</v>
      </c>
      <c r="B79" s="35"/>
      <c r="C79" s="35"/>
      <c r="D79" s="35"/>
      <c r="E79" s="35"/>
      <c r="F79" s="35"/>
      <c r="G79" s="35"/>
      <c r="H79" s="35"/>
      <c r="I79" s="35"/>
      <c r="J79" s="35"/>
      <c r="K79" s="35"/>
      <c r="L79" s="35"/>
      <c r="M79" s="35"/>
    </row>
    <row r="80" spans="1:17" x14ac:dyDescent="0.2">
      <c r="A80" s="18"/>
      <c r="B80" s="18"/>
      <c r="C80" s="18"/>
      <c r="D80" s="18"/>
      <c r="E80" s="66" t="s">
        <v>27</v>
      </c>
      <c r="F80" s="18"/>
      <c r="G80" s="18"/>
      <c r="H80" s="18"/>
      <c r="I80" s="18"/>
      <c r="J80" s="18"/>
      <c r="K80" s="18"/>
      <c r="L80" s="18"/>
      <c r="M80" s="18"/>
    </row>
    <row r="81" spans="1:21" ht="13.5" thickBot="1" x14ac:dyDescent="0.25">
      <c r="A81" s="18" t="s">
        <v>28</v>
      </c>
      <c r="B81" s="18">
        <v>1.1000000000000001</v>
      </c>
      <c r="C81" s="18"/>
      <c r="D81" s="18"/>
      <c r="E81" s="67">
        <v>1.1000000000000001</v>
      </c>
      <c r="F81" s="18"/>
      <c r="G81" s="18"/>
      <c r="H81" s="18"/>
      <c r="I81" s="18"/>
      <c r="J81" s="18"/>
      <c r="K81" s="18"/>
      <c r="L81" s="18"/>
      <c r="M81" s="18"/>
    </row>
    <row r="82" spans="1:21" ht="13.5" thickBot="1" x14ac:dyDescent="0.25">
      <c r="A82" s="18" t="s">
        <v>1</v>
      </c>
      <c r="B82" s="255">
        <f>IF(Gegevensinvoer!C70=0,1,1.5)</f>
        <v>1.5</v>
      </c>
      <c r="C82" s="18"/>
      <c r="D82" s="18"/>
      <c r="E82" s="67">
        <v>1.5</v>
      </c>
      <c r="F82" s="18"/>
      <c r="G82" s="197" t="s">
        <v>250</v>
      </c>
      <c r="H82" s="198"/>
      <c r="I82" s="198"/>
      <c r="J82" s="198"/>
      <c r="K82" s="198"/>
      <c r="L82" s="198"/>
      <c r="M82" s="198"/>
      <c r="N82" s="199"/>
    </row>
    <row r="83" spans="1:21" ht="13.5" thickBot="1" x14ac:dyDescent="0.25">
      <c r="A83" s="64" t="s">
        <v>56</v>
      </c>
      <c r="B83" s="66">
        <f>R94</f>
        <v>1.46</v>
      </c>
      <c r="C83" s="18"/>
      <c r="D83" s="18"/>
      <c r="E83" s="66">
        <v>1.83</v>
      </c>
      <c r="F83" s="18"/>
      <c r="G83" s="200"/>
      <c r="H83" s="201"/>
      <c r="I83" s="201"/>
      <c r="J83" s="201"/>
      <c r="K83" s="201"/>
      <c r="L83" s="201"/>
      <c r="M83" s="201"/>
      <c r="N83" s="202"/>
    </row>
    <row r="84" spans="1:21" ht="15.75" thickBot="1" x14ac:dyDescent="0.25">
      <c r="A84" s="64" t="s">
        <v>57</v>
      </c>
      <c r="B84" s="66">
        <f>T94</f>
        <v>55.6</v>
      </c>
      <c r="C84" s="18" t="s">
        <v>59</v>
      </c>
      <c r="D84" s="18"/>
      <c r="E84" s="66">
        <v>83</v>
      </c>
      <c r="F84" s="18"/>
      <c r="G84" s="203"/>
      <c r="H84" s="204"/>
      <c r="I84" s="204"/>
      <c r="J84" s="204"/>
      <c r="K84" s="204"/>
      <c r="L84" s="204"/>
      <c r="M84" s="204"/>
      <c r="N84" s="205"/>
      <c r="P84" s="5" t="s">
        <v>31</v>
      </c>
      <c r="Q84" s="423" t="s">
        <v>32</v>
      </c>
      <c r="R84" s="424"/>
      <c r="S84" s="423" t="s">
        <v>33</v>
      </c>
      <c r="T84" s="424"/>
    </row>
    <row r="85" spans="1:21" ht="15.75" thickBot="1" x14ac:dyDescent="0.25">
      <c r="A85" s="75" t="s">
        <v>22</v>
      </c>
      <c r="D85" s="69"/>
      <c r="E85" s="106"/>
      <c r="F85" s="18"/>
      <c r="G85" s="18"/>
      <c r="H85" s="18"/>
      <c r="I85" s="18"/>
      <c r="J85" s="18"/>
      <c r="K85" s="18"/>
      <c r="L85" s="18"/>
      <c r="M85" s="18"/>
      <c r="P85" s="6" t="s">
        <v>34</v>
      </c>
      <c r="Q85" s="7" t="s">
        <v>26</v>
      </c>
      <c r="R85" s="7" t="s">
        <v>35</v>
      </c>
      <c r="S85" s="7" t="s">
        <v>26</v>
      </c>
      <c r="T85" s="7" t="s">
        <v>35</v>
      </c>
    </row>
    <row r="86" spans="1:21" ht="14.25" thickTop="1" x14ac:dyDescent="0.2">
      <c r="A86" s="118" t="s">
        <v>74</v>
      </c>
      <c r="B86" s="120">
        <v>0.06</v>
      </c>
      <c r="C86" s="119" t="s">
        <v>83</v>
      </c>
      <c r="D86" s="119"/>
      <c r="E86" s="120">
        <v>0</v>
      </c>
      <c r="F86" s="18"/>
      <c r="G86" s="18"/>
      <c r="H86" s="18"/>
      <c r="I86" s="18"/>
      <c r="J86" s="18"/>
      <c r="K86" s="18"/>
      <c r="L86" s="18"/>
      <c r="M86" s="18"/>
      <c r="P86" s="431" t="s">
        <v>36</v>
      </c>
      <c r="Q86" s="432">
        <v>1</v>
      </c>
      <c r="R86" s="432">
        <v>1</v>
      </c>
      <c r="S86" s="9" t="s">
        <v>37</v>
      </c>
      <c r="T86" s="9" t="s">
        <v>39</v>
      </c>
    </row>
    <row r="87" spans="1:21" ht="14.25" thickBot="1" x14ac:dyDescent="0.25">
      <c r="A87" s="118" t="s">
        <v>75</v>
      </c>
      <c r="B87" s="133">
        <v>0.4</v>
      </c>
      <c r="C87" s="119" t="s">
        <v>83</v>
      </c>
      <c r="D87" s="119"/>
      <c r="E87" s="120">
        <v>0</v>
      </c>
      <c r="F87" s="18"/>
      <c r="G87" s="131" t="s">
        <v>258</v>
      </c>
      <c r="H87" s="18"/>
      <c r="I87" s="18"/>
      <c r="J87" s="18"/>
      <c r="K87" s="18"/>
      <c r="L87" s="18"/>
      <c r="M87" s="18"/>
      <c r="P87" s="422"/>
      <c r="Q87" s="420"/>
      <c r="R87" s="420"/>
      <c r="S87" s="10" t="s">
        <v>38</v>
      </c>
      <c r="T87" s="10" t="s">
        <v>40</v>
      </c>
    </row>
    <row r="88" spans="1:21" ht="13.5" x14ac:dyDescent="0.2">
      <c r="A88" s="118" t="s">
        <v>76</v>
      </c>
      <c r="B88" s="120">
        <f>E88</f>
        <v>1</v>
      </c>
      <c r="C88" s="119" t="s">
        <v>85</v>
      </c>
      <c r="D88" s="119"/>
      <c r="E88" s="120">
        <v>1</v>
      </c>
      <c r="F88" s="18"/>
      <c r="G88" s="18"/>
      <c r="H88" s="18"/>
      <c r="I88" s="18"/>
      <c r="J88" s="18"/>
      <c r="K88" s="18"/>
      <c r="L88" s="18"/>
      <c r="M88" s="18"/>
      <c r="P88" s="421" t="s">
        <v>41</v>
      </c>
      <c r="Q88" s="419">
        <v>1.83</v>
      </c>
      <c r="R88" s="419">
        <v>0.81</v>
      </c>
      <c r="S88" s="9">
        <v>83</v>
      </c>
      <c r="T88" s="9" t="s">
        <v>42</v>
      </c>
      <c r="U88" t="s">
        <v>59</v>
      </c>
    </row>
    <row r="89" spans="1:21" ht="14.25" thickBot="1" x14ac:dyDescent="0.25">
      <c r="A89" s="66" t="s">
        <v>251</v>
      </c>
      <c r="B89" s="121">
        <f>Gegevensinvoer!C69</f>
        <v>0.84</v>
      </c>
      <c r="G89" s="18"/>
      <c r="H89" s="18"/>
      <c r="I89" s="18"/>
      <c r="J89" s="18"/>
      <c r="K89" s="18"/>
      <c r="L89" s="18"/>
      <c r="M89" s="18"/>
      <c r="P89" s="422"/>
      <c r="Q89" s="420"/>
      <c r="R89" s="420"/>
      <c r="S89" s="10">
        <v>298800</v>
      </c>
      <c r="T89" s="10" t="s">
        <v>43</v>
      </c>
      <c r="U89" t="s">
        <v>58</v>
      </c>
    </row>
    <row r="90" spans="1:21" ht="13.5" x14ac:dyDescent="0.25">
      <c r="A90" s="75" t="s">
        <v>90</v>
      </c>
      <c r="B90" s="18"/>
      <c r="C90" s="18"/>
      <c r="D90" s="18"/>
      <c r="E90" s="18"/>
      <c r="F90" s="18"/>
      <c r="G90" s="18"/>
      <c r="H90" s="18"/>
      <c r="I90" s="18"/>
      <c r="J90" s="18"/>
      <c r="K90" s="18"/>
      <c r="L90" s="18"/>
      <c r="M90" s="18"/>
      <c r="P90" s="8" t="s">
        <v>44</v>
      </c>
      <c r="Q90" s="419"/>
      <c r="R90" s="428">
        <v>0.81</v>
      </c>
      <c r="S90" s="419"/>
      <c r="T90" s="12">
        <v>77</v>
      </c>
      <c r="U90" t="s">
        <v>59</v>
      </c>
    </row>
    <row r="91" spans="1:21" ht="13.5" x14ac:dyDescent="0.25">
      <c r="A91" s="74" t="s">
        <v>78</v>
      </c>
      <c r="B91" s="110">
        <v>1</v>
      </c>
      <c r="C91" s="74"/>
      <c r="E91" s="134" t="s">
        <v>259</v>
      </c>
      <c r="G91" s="18"/>
      <c r="H91" s="18"/>
      <c r="I91" s="18"/>
      <c r="J91" s="18"/>
      <c r="K91" s="18"/>
      <c r="L91" s="18"/>
      <c r="M91" s="18"/>
      <c r="P91" s="8" t="s">
        <v>45</v>
      </c>
      <c r="Q91" s="427"/>
      <c r="R91" s="429"/>
      <c r="S91" s="427"/>
      <c r="T91" s="12">
        <v>276923</v>
      </c>
      <c r="U91" t="s">
        <v>58</v>
      </c>
    </row>
    <row r="92" spans="1:21" ht="13.5" x14ac:dyDescent="0.2">
      <c r="A92" s="64" t="s">
        <v>20</v>
      </c>
      <c r="B92" s="110">
        <v>0</v>
      </c>
      <c r="C92" s="18"/>
      <c r="E92" s="134" t="s">
        <v>259</v>
      </c>
      <c r="F92" s="18"/>
      <c r="G92" s="18"/>
      <c r="H92" s="18"/>
      <c r="I92" s="18"/>
      <c r="J92" s="18"/>
      <c r="K92" s="18"/>
      <c r="L92" s="18"/>
      <c r="M92" s="18"/>
      <c r="P92" s="8" t="s">
        <v>46</v>
      </c>
      <c r="Q92" s="427"/>
      <c r="R92" s="429"/>
      <c r="S92" s="427"/>
      <c r="T92" s="13"/>
    </row>
    <row r="93" spans="1:21" ht="14.25" thickBot="1" x14ac:dyDescent="0.25">
      <c r="A93" s="64" t="s">
        <v>79</v>
      </c>
      <c r="B93" s="135">
        <f>Gegevensinvoer!C68</f>
        <v>5</v>
      </c>
      <c r="C93" s="18"/>
      <c r="D93" s="18"/>
      <c r="E93" s="131" t="s">
        <v>260</v>
      </c>
      <c r="G93" s="18"/>
      <c r="H93" s="18"/>
      <c r="I93" s="18"/>
      <c r="J93" s="131" t="s">
        <v>262</v>
      </c>
      <c r="K93" s="18"/>
      <c r="L93" s="18"/>
      <c r="M93" s="18"/>
      <c r="P93" s="11" t="s">
        <v>47</v>
      </c>
      <c r="Q93" s="420"/>
      <c r="R93" s="430"/>
      <c r="S93" s="420"/>
      <c r="T93" s="14"/>
    </row>
    <row r="94" spans="1:21" ht="13.5" x14ac:dyDescent="0.2">
      <c r="A94" s="64" t="s">
        <v>80</v>
      </c>
      <c r="B94" s="110">
        <v>0</v>
      </c>
      <c r="C94" s="18" t="s">
        <v>82</v>
      </c>
      <c r="D94" s="18"/>
      <c r="E94" s="70"/>
      <c r="F94" s="18"/>
      <c r="G94" s="18"/>
      <c r="H94" s="18"/>
      <c r="I94" s="18"/>
      <c r="J94" s="18"/>
      <c r="K94" s="18"/>
      <c r="L94" s="18"/>
      <c r="M94" s="18"/>
      <c r="P94" s="421" t="s">
        <v>48</v>
      </c>
      <c r="Q94" s="419"/>
      <c r="R94" s="419">
        <v>1.46</v>
      </c>
      <c r="S94" s="419"/>
      <c r="T94" s="9">
        <v>55.6</v>
      </c>
      <c r="U94" t="s">
        <v>59</v>
      </c>
    </row>
    <row r="95" spans="1:21" ht="14.25" thickBot="1" x14ac:dyDescent="0.25">
      <c r="A95" s="63" t="s">
        <v>81</v>
      </c>
      <c r="B95" s="110">
        <v>1</v>
      </c>
      <c r="C95" s="18"/>
      <c r="D95" s="18"/>
      <c r="E95" s="70"/>
      <c r="F95" s="18"/>
      <c r="G95" s="18"/>
      <c r="H95" s="18"/>
      <c r="I95" s="18"/>
      <c r="J95" s="18"/>
      <c r="K95" s="18"/>
      <c r="L95" s="18"/>
      <c r="M95" s="18"/>
      <c r="P95" s="422"/>
      <c r="Q95" s="420"/>
      <c r="R95" s="420"/>
      <c r="S95" s="420"/>
      <c r="T95" s="10" t="s">
        <v>49</v>
      </c>
    </row>
    <row r="96" spans="1:21" ht="13.5" x14ac:dyDescent="0.2">
      <c r="A96" s="64"/>
      <c r="B96" s="66"/>
      <c r="C96" s="18"/>
      <c r="D96" s="69"/>
      <c r="E96" s="66"/>
      <c r="F96" s="18"/>
      <c r="G96" s="18"/>
      <c r="H96" s="18"/>
      <c r="I96" s="18"/>
      <c r="J96" s="18"/>
      <c r="K96" s="18"/>
      <c r="L96" s="18"/>
      <c r="M96" s="18"/>
      <c r="P96" s="8" t="s">
        <v>50</v>
      </c>
      <c r="Q96" s="419"/>
      <c r="R96" s="419">
        <v>0.56000000000000005</v>
      </c>
      <c r="S96" s="419"/>
      <c r="T96" s="9" t="s">
        <v>52</v>
      </c>
    </row>
    <row r="97" spans="1:22" ht="14.25" thickBot="1" x14ac:dyDescent="0.25">
      <c r="A97" s="76" t="s">
        <v>113</v>
      </c>
      <c r="C97" s="18"/>
      <c r="D97" s="18"/>
      <c r="P97" s="11" t="s">
        <v>51</v>
      </c>
      <c r="Q97" s="420"/>
      <c r="R97" s="420"/>
      <c r="S97" s="420"/>
      <c r="T97" s="10" t="s">
        <v>53</v>
      </c>
    </row>
    <row r="98" spans="1:22" ht="14.25" thickBot="1" x14ac:dyDescent="0.25">
      <c r="A98" s="64" t="s">
        <v>77</v>
      </c>
      <c r="B98" s="110">
        <f>IF(Gegevensinvoer!C70=0,1,Gegevensinvoer!C70)</f>
        <v>2.5</v>
      </c>
      <c r="C98" s="18"/>
      <c r="D98" s="18"/>
      <c r="P98" s="15" t="s">
        <v>54</v>
      </c>
      <c r="Q98" s="425">
        <v>1</v>
      </c>
      <c r="R98" s="426"/>
      <c r="S98" s="425" t="s">
        <v>55</v>
      </c>
      <c r="T98" s="426"/>
    </row>
    <row r="99" spans="1:22" x14ac:dyDescent="0.2">
      <c r="A99" s="18"/>
      <c r="B99" s="18"/>
      <c r="C99" s="18"/>
      <c r="D99" s="18"/>
    </row>
    <row r="100" spans="1:22" x14ac:dyDescent="0.2">
      <c r="A100" s="33" t="s">
        <v>135</v>
      </c>
      <c r="B100" s="33"/>
      <c r="C100" s="34"/>
      <c r="D100" s="49"/>
      <c r="E100" s="49"/>
      <c r="F100" s="49"/>
      <c r="G100" s="49"/>
      <c r="H100" s="49"/>
      <c r="I100" s="49"/>
      <c r="J100" s="49"/>
      <c r="K100" s="49"/>
      <c r="L100" s="49"/>
      <c r="M100" s="49"/>
    </row>
    <row r="101" spans="1:22" x14ac:dyDescent="0.2">
      <c r="A101" s="36"/>
      <c r="B101" s="36"/>
      <c r="C101" s="39"/>
    </row>
    <row r="102" spans="1:22" x14ac:dyDescent="0.2">
      <c r="A102" s="42" t="s">
        <v>116</v>
      </c>
      <c r="B102" s="36"/>
      <c r="C102" s="39"/>
    </row>
    <row r="103" spans="1:22" x14ac:dyDescent="0.2">
      <c r="A103" s="36"/>
      <c r="B103" s="36" t="s">
        <v>117</v>
      </c>
      <c r="C103" s="184">
        <f>C104+C106/C105</f>
        <v>0.97066592175200683</v>
      </c>
    </row>
    <row r="104" spans="1:22" x14ac:dyDescent="0.2">
      <c r="A104" s="36"/>
      <c r="B104" s="36" t="s">
        <v>118</v>
      </c>
      <c r="C104" s="184">
        <v>0.8</v>
      </c>
      <c r="I104" s="132"/>
    </row>
    <row r="105" spans="1:22" x14ac:dyDescent="0.2">
      <c r="A105" s="36"/>
      <c r="B105" s="36" t="s">
        <v>119</v>
      </c>
      <c r="C105" s="43">
        <v>70</v>
      </c>
      <c r="I105" s="132"/>
      <c r="J105" s="102"/>
      <c r="K105" s="102"/>
      <c r="L105" s="102"/>
      <c r="M105" s="102"/>
      <c r="N105" s="102"/>
      <c r="O105" s="102"/>
      <c r="P105" s="114"/>
      <c r="Q105" s="102"/>
      <c r="R105" s="102"/>
      <c r="S105" s="102"/>
      <c r="T105" s="102"/>
      <c r="U105" s="102"/>
      <c r="V105" s="102"/>
    </row>
    <row r="106" spans="1:22" x14ac:dyDescent="0.2">
      <c r="A106" s="36"/>
      <c r="B106" s="36" t="s">
        <v>120</v>
      </c>
      <c r="C106" s="44">
        <f>C107/(3.6*(C108+C109))</f>
        <v>11.946614522640477</v>
      </c>
    </row>
    <row r="107" spans="1:22" x14ac:dyDescent="0.2">
      <c r="A107" s="36"/>
      <c r="B107" s="36" t="s">
        <v>121</v>
      </c>
      <c r="C107" s="43">
        <f>55*Gegevensinvoer!C17</f>
        <v>65571</v>
      </c>
    </row>
    <row r="108" spans="1:22" x14ac:dyDescent="0.2">
      <c r="A108" s="36"/>
      <c r="B108" s="36" t="s">
        <v>70</v>
      </c>
      <c r="C108" s="43">
        <f>B46</f>
        <v>860.81592578339564</v>
      </c>
    </row>
    <row r="109" spans="1:22" x14ac:dyDescent="0.2">
      <c r="A109" s="36"/>
      <c r="B109" s="36" t="s">
        <v>122</v>
      </c>
      <c r="C109" s="43">
        <f>B57</f>
        <v>663.8140547142857</v>
      </c>
    </row>
    <row r="110" spans="1:22" x14ac:dyDescent="0.2">
      <c r="A110" s="45" t="s">
        <v>126</v>
      </c>
    </row>
    <row r="111" spans="1:22" x14ac:dyDescent="0.2">
      <c r="B111" s="46" t="s">
        <v>22</v>
      </c>
      <c r="C111" s="111">
        <f>Gegevensinvoer!C30</f>
        <v>4.62</v>
      </c>
      <c r="E111" t="s">
        <v>243</v>
      </c>
    </row>
    <row r="112" spans="1:22" x14ac:dyDescent="0.2">
      <c r="B112" s="46" t="s">
        <v>24</v>
      </c>
      <c r="C112" s="259">
        <f>Gegevensinvoer!C31</f>
        <v>0.84</v>
      </c>
      <c r="E112" s="132" t="s">
        <v>261</v>
      </c>
    </row>
    <row r="113" spans="1:15" x14ac:dyDescent="0.2">
      <c r="B113" s="46" t="s">
        <v>114</v>
      </c>
      <c r="C113" s="112">
        <f>Gegevensinvoer!C32</f>
        <v>2.5</v>
      </c>
    </row>
    <row r="115" spans="1:15" x14ac:dyDescent="0.2">
      <c r="A115" s="47" t="s">
        <v>187</v>
      </c>
      <c r="B115" s="47"/>
      <c r="C115" s="47"/>
      <c r="D115" s="47"/>
      <c r="E115" s="47"/>
      <c r="F115" s="47"/>
      <c r="G115" s="47"/>
      <c r="H115" s="47"/>
      <c r="I115" s="47"/>
      <c r="J115" s="47"/>
      <c r="K115" s="47"/>
      <c r="L115" s="47"/>
      <c r="M115" s="47"/>
    </row>
    <row r="116" spans="1:15" x14ac:dyDescent="0.2">
      <c r="A116" t="s">
        <v>190</v>
      </c>
      <c r="E116" t="s">
        <v>192</v>
      </c>
      <c r="F116" t="s">
        <v>191</v>
      </c>
      <c r="G116" t="s">
        <v>215</v>
      </c>
    </row>
    <row r="117" spans="1:15" x14ac:dyDescent="0.2">
      <c r="B117" t="s">
        <v>188</v>
      </c>
      <c r="C117" s="113">
        <f>Gegevensinvoer!C33</f>
        <v>0.5</v>
      </c>
      <c r="F117">
        <v>0.5</v>
      </c>
      <c r="G117">
        <v>1</v>
      </c>
    </row>
    <row r="118" spans="1:15" x14ac:dyDescent="0.2">
      <c r="B118" t="s">
        <v>189</v>
      </c>
      <c r="C118" s="113">
        <f>Gegevensinvoer!C71</f>
        <v>0.5</v>
      </c>
      <c r="E118">
        <v>0</v>
      </c>
      <c r="F118">
        <v>0.5</v>
      </c>
      <c r="G118">
        <v>1</v>
      </c>
    </row>
    <row r="119" spans="1:15" x14ac:dyDescent="0.2">
      <c r="C119" s="106"/>
    </row>
    <row r="120" spans="1:15" x14ac:dyDescent="0.2">
      <c r="E120" s="132" t="s">
        <v>263</v>
      </c>
    </row>
    <row r="122" spans="1:15" x14ac:dyDescent="0.2">
      <c r="N122" s="67"/>
      <c r="O122" s="67"/>
    </row>
    <row r="123" spans="1:15" x14ac:dyDescent="0.2">
      <c r="A123" s="47" t="s">
        <v>181</v>
      </c>
      <c r="B123" s="47"/>
      <c r="C123" s="47"/>
      <c r="D123" s="47"/>
      <c r="E123" s="47"/>
      <c r="F123" s="47"/>
      <c r="G123" s="47"/>
      <c r="H123" s="47"/>
      <c r="I123" s="47"/>
      <c r="J123" s="47"/>
      <c r="K123" s="47"/>
      <c r="L123" s="47"/>
      <c r="M123" s="47"/>
      <c r="N123" s="67"/>
      <c r="O123" s="67"/>
    </row>
    <row r="124" spans="1:15" x14ac:dyDescent="0.2">
      <c r="B124" s="102">
        <v>0.73</v>
      </c>
    </row>
    <row r="125" spans="1:15" x14ac:dyDescent="0.2">
      <c r="A125" s="38" t="s">
        <v>221</v>
      </c>
      <c r="B125" s="186">
        <f>$B$124*G125</f>
        <v>134.32</v>
      </c>
      <c r="F125" s="38" t="s">
        <v>221</v>
      </c>
      <c r="G125" s="185">
        <v>184</v>
      </c>
    </row>
    <row r="126" spans="1:15" x14ac:dyDescent="0.2">
      <c r="A126" s="38" t="s">
        <v>222</v>
      </c>
      <c r="B126" s="186">
        <f>$B$124*G126</f>
        <v>210.97</v>
      </c>
      <c r="F126" s="38" t="s">
        <v>222</v>
      </c>
      <c r="G126" s="185">
        <v>289</v>
      </c>
    </row>
    <row r="127" spans="1:15" x14ac:dyDescent="0.2">
      <c r="A127" s="38" t="s">
        <v>223</v>
      </c>
      <c r="B127" s="186">
        <f>$B$124*G127</f>
        <v>153.29999999999998</v>
      </c>
      <c r="D127" s="17"/>
      <c r="F127" s="38" t="s">
        <v>223</v>
      </c>
      <c r="G127" s="185">
        <v>210</v>
      </c>
    </row>
    <row r="128" spans="1:15" x14ac:dyDescent="0.2">
      <c r="A128" s="38" t="s">
        <v>224</v>
      </c>
      <c r="B128" s="186">
        <f>$B$124*G128</f>
        <v>107.31</v>
      </c>
      <c r="D128" s="17"/>
      <c r="F128" s="38" t="s">
        <v>224</v>
      </c>
      <c r="G128" s="185">
        <v>147</v>
      </c>
    </row>
    <row r="129" spans="1:7" x14ac:dyDescent="0.2">
      <c r="A129" s="38" t="s">
        <v>225</v>
      </c>
      <c r="B129" s="106">
        <v>1</v>
      </c>
      <c r="F129" s="38" t="s">
        <v>225</v>
      </c>
      <c r="G129" s="106">
        <v>1</v>
      </c>
    </row>
    <row r="130" spans="1:7" x14ac:dyDescent="0.2">
      <c r="A130" s="38" t="s">
        <v>226</v>
      </c>
      <c r="B130" s="106">
        <v>18000</v>
      </c>
      <c r="C130" t="s">
        <v>255</v>
      </c>
      <c r="F130" s="38" t="s">
        <v>226</v>
      </c>
      <c r="G130" s="106">
        <v>21500</v>
      </c>
    </row>
    <row r="132" spans="1:7" x14ac:dyDescent="0.2">
      <c r="A132" s="38" t="s">
        <v>182</v>
      </c>
      <c r="B132">
        <v>105</v>
      </c>
      <c r="D132" t="s">
        <v>238</v>
      </c>
    </row>
    <row r="133" spans="1:7" x14ac:dyDescent="0.2">
      <c r="A133" s="38" t="s">
        <v>183</v>
      </c>
      <c r="B133">
        <v>175</v>
      </c>
    </row>
    <row r="134" spans="1:7" x14ac:dyDescent="0.2">
      <c r="A134" s="38" t="s">
        <v>184</v>
      </c>
      <c r="B134">
        <v>50</v>
      </c>
    </row>
    <row r="135" spans="1:7" x14ac:dyDescent="0.2">
      <c r="A135" s="38" t="s">
        <v>185</v>
      </c>
      <c r="B135">
        <v>35</v>
      </c>
    </row>
    <row r="136" spans="1:7" x14ac:dyDescent="0.2">
      <c r="A136" s="38" t="s">
        <v>186</v>
      </c>
      <c r="B136">
        <v>0.7</v>
      </c>
    </row>
    <row r="137" spans="1:7" x14ac:dyDescent="0.2">
      <c r="A137" s="38"/>
    </row>
  </sheetData>
  <sheetProtection password="B2FB" sheet="1" objects="1" scenarios="1"/>
  <mergeCells count="22">
    <mergeCell ref="S84:T84"/>
    <mergeCell ref="P86:P87"/>
    <mergeCell ref="Q86:Q87"/>
    <mergeCell ref="R86:R87"/>
    <mergeCell ref="S96:S97"/>
    <mergeCell ref="Q98:R98"/>
    <mergeCell ref="S98:T98"/>
    <mergeCell ref="S90:S93"/>
    <mergeCell ref="Q94:Q95"/>
    <mergeCell ref="R94:R95"/>
    <mergeCell ref="S94:S95"/>
    <mergeCell ref="Q90:Q93"/>
    <mergeCell ref="R90:R93"/>
    <mergeCell ref="B37:F37"/>
    <mergeCell ref="B36:F36"/>
    <mergeCell ref="Q96:Q97"/>
    <mergeCell ref="R96:R97"/>
    <mergeCell ref="P94:P95"/>
    <mergeCell ref="P88:P89"/>
    <mergeCell ref="Q88:Q89"/>
    <mergeCell ref="R88:R89"/>
    <mergeCell ref="Q84:R84"/>
  </mergeCells>
  <phoneticPr fontId="2" type="noConversion"/>
  <pageMargins left="0.75" right="0.75" top="1" bottom="1" header="0.5" footer="0.5"/>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tabColor theme="9" tint="-0.249977111117893"/>
  </sheetPr>
  <dimension ref="A1:Z58"/>
  <sheetViews>
    <sheetView topLeftCell="B1" workbookViewId="0">
      <selection activeCell="F36" sqref="F36"/>
    </sheetView>
  </sheetViews>
  <sheetFormatPr defaultRowHeight="12.75" x14ac:dyDescent="0.2"/>
  <cols>
    <col min="1" max="1" width="15.140625" bestFit="1" customWidth="1"/>
    <col min="3" max="3" width="28" customWidth="1"/>
    <col min="7" max="7" width="30" customWidth="1"/>
    <col min="11" max="11" width="17.5703125" customWidth="1"/>
    <col min="12" max="12" width="20.42578125" bestFit="1" customWidth="1"/>
    <col min="14" max="14" width="11.42578125" bestFit="1" customWidth="1"/>
    <col min="17" max="17" width="12.42578125" bestFit="1" customWidth="1"/>
    <col min="21" max="21" width="13.42578125" bestFit="1" customWidth="1"/>
  </cols>
  <sheetData>
    <row r="1" spans="1:26" ht="13.5" thickBot="1" x14ac:dyDescent="0.25"/>
    <row r="2" spans="1:26" x14ac:dyDescent="0.2">
      <c r="B2" s="256"/>
      <c r="C2" s="260" t="s">
        <v>290</v>
      </c>
      <c r="D2" s="257"/>
      <c r="E2" s="257"/>
      <c r="F2" s="257"/>
      <c r="G2" s="257"/>
      <c r="H2" s="257"/>
      <c r="I2" s="258"/>
    </row>
    <row r="3" spans="1:26" x14ac:dyDescent="0.2">
      <c r="B3" s="147"/>
      <c r="C3" s="24"/>
      <c r="D3" s="24"/>
      <c r="E3" s="24"/>
      <c r="F3" s="24"/>
      <c r="G3" s="24"/>
      <c r="H3" s="24"/>
      <c r="I3" s="148"/>
    </row>
    <row r="4" spans="1:26" x14ac:dyDescent="0.2">
      <c r="A4" s="31"/>
      <c r="B4" s="149"/>
      <c r="C4" s="24" t="s">
        <v>267</v>
      </c>
      <c r="D4" s="24">
        <f>Gegevensinvoer!C16</f>
        <v>16</v>
      </c>
      <c r="E4" s="24"/>
      <c r="F4" s="24"/>
      <c r="G4" s="24"/>
      <c r="H4" s="24"/>
      <c r="I4" s="148"/>
      <c r="L4" s="1"/>
      <c r="M4" s="1" t="s">
        <v>318</v>
      </c>
      <c r="N4" s="1" t="s">
        <v>319</v>
      </c>
      <c r="O4" s="1" t="s">
        <v>320</v>
      </c>
      <c r="P4" s="1" t="s">
        <v>321</v>
      </c>
      <c r="Q4" s="1" t="s">
        <v>7</v>
      </c>
      <c r="R4" s="1" t="s">
        <v>322</v>
      </c>
      <c r="S4" s="1" t="s">
        <v>323</v>
      </c>
      <c r="T4" s="1" t="s">
        <v>324</v>
      </c>
      <c r="U4" s="1" t="s">
        <v>325</v>
      </c>
      <c r="V4" s="1" t="s">
        <v>326</v>
      </c>
      <c r="W4" s="1" t="s">
        <v>327</v>
      </c>
      <c r="X4" s="1" t="s">
        <v>328</v>
      </c>
      <c r="Y4" s="1" t="s">
        <v>329</v>
      </c>
      <c r="Z4" s="1"/>
    </row>
    <row r="5" spans="1:26" x14ac:dyDescent="0.2">
      <c r="B5" s="147"/>
      <c r="C5" s="137" t="s">
        <v>268</v>
      </c>
      <c r="D5" s="146">
        <v>25</v>
      </c>
      <c r="E5" s="137" t="s">
        <v>200</v>
      </c>
      <c r="F5" s="24"/>
      <c r="G5" s="24"/>
      <c r="H5" s="24"/>
      <c r="I5" s="148"/>
      <c r="L5" s="2" t="s">
        <v>72</v>
      </c>
      <c r="M5" s="3">
        <f>Parameters!B6</f>
        <v>2.6783999999999999</v>
      </c>
      <c r="N5" s="3">
        <f>Parameters!C6</f>
        <v>2.4192</v>
      </c>
      <c r="O5" s="3">
        <f>Parameters!D6</f>
        <v>2.6783999999999999</v>
      </c>
      <c r="P5" s="3">
        <f>Parameters!E6</f>
        <v>2.5920000000000001</v>
      </c>
      <c r="Q5" s="3">
        <f>Parameters!F6</f>
        <v>2.6783999999999999</v>
      </c>
      <c r="R5" s="3">
        <f>Parameters!G6</f>
        <v>2.5920000000000001</v>
      </c>
      <c r="S5" s="3">
        <f>Parameters!H6</f>
        <v>2.6783999999999999</v>
      </c>
      <c r="T5" s="3">
        <f>Parameters!I6</f>
        <v>2.6783999999999999</v>
      </c>
      <c r="U5" s="3">
        <f>Parameters!J6</f>
        <v>2.5920000000000001</v>
      </c>
      <c r="V5" s="3">
        <f>Parameters!K6</f>
        <v>2.6783999999999999</v>
      </c>
      <c r="W5" s="3">
        <f>Parameters!L6</f>
        <v>2.5920000000000001</v>
      </c>
      <c r="X5" s="3">
        <f>Parameters!M6</f>
        <v>2.6783999999999999</v>
      </c>
      <c r="Y5" s="165"/>
      <c r="Z5" s="165" t="str">
        <f>Parameters!N6</f>
        <v>Ms</v>
      </c>
    </row>
    <row r="6" spans="1:26" x14ac:dyDescent="0.2">
      <c r="B6" s="147"/>
      <c r="C6" s="24" t="s">
        <v>266</v>
      </c>
      <c r="D6" s="139">
        <f>D4*D5</f>
        <v>400</v>
      </c>
      <c r="E6" s="24" t="s">
        <v>200</v>
      </c>
      <c r="F6" s="24"/>
      <c r="G6" s="24"/>
      <c r="H6" s="24"/>
      <c r="I6" s="148"/>
      <c r="L6" s="2" t="s">
        <v>308</v>
      </c>
      <c r="M6" s="3">
        <f>Parameters!B7</f>
        <v>3.2</v>
      </c>
      <c r="N6" s="3">
        <f>Parameters!C7</f>
        <v>3.9</v>
      </c>
      <c r="O6" s="3">
        <f>Parameters!D7</f>
        <v>5.9</v>
      </c>
      <c r="P6" s="3">
        <f>Parameters!E7</f>
        <v>9.1999999999999993</v>
      </c>
      <c r="Q6" s="3">
        <f>Parameters!F7</f>
        <v>13.3</v>
      </c>
      <c r="R6" s="3">
        <f>Parameters!G7</f>
        <v>16.2</v>
      </c>
      <c r="S6" s="3">
        <f>Parameters!H7</f>
        <v>17.600000000000001</v>
      </c>
      <c r="T6" s="3">
        <f>Parameters!I7</f>
        <v>17.600000000000001</v>
      </c>
      <c r="U6" s="3">
        <f>Parameters!J7</f>
        <v>15.2</v>
      </c>
      <c r="V6" s="3">
        <f>Parameters!K7</f>
        <v>11.2</v>
      </c>
      <c r="W6" s="3">
        <f>Parameters!L7</f>
        <v>6.3</v>
      </c>
      <c r="X6" s="3">
        <f>Parameters!M7</f>
        <v>3.5</v>
      </c>
      <c r="Y6" s="165"/>
      <c r="Z6" s="165"/>
    </row>
    <row r="7" spans="1:26" x14ac:dyDescent="0.2">
      <c r="B7" s="150"/>
      <c r="C7" s="24" t="s">
        <v>269</v>
      </c>
      <c r="D7" s="24">
        <v>365</v>
      </c>
      <c r="E7" s="24"/>
      <c r="F7" s="24"/>
      <c r="G7" s="24"/>
      <c r="H7" s="24"/>
      <c r="I7" s="148"/>
      <c r="L7" s="2" t="s">
        <v>307</v>
      </c>
      <c r="M7" s="3">
        <f>IF($D$25=1,$I$25,IF($D$25=2,11+0.4*M6,M6))</f>
        <v>23</v>
      </c>
      <c r="N7" s="3">
        <f t="shared" ref="N7:X7" si="0">IF($D$25=1,$I$25,IF($D$25=2,11+0.4*N6,N6))</f>
        <v>23</v>
      </c>
      <c r="O7" s="3">
        <f t="shared" si="0"/>
        <v>23</v>
      </c>
      <c r="P7" s="3">
        <f t="shared" si="0"/>
        <v>23</v>
      </c>
      <c r="Q7" s="3">
        <f t="shared" si="0"/>
        <v>23</v>
      </c>
      <c r="R7" s="3">
        <f t="shared" si="0"/>
        <v>23</v>
      </c>
      <c r="S7" s="3">
        <f t="shared" si="0"/>
        <v>23</v>
      </c>
      <c r="T7" s="3">
        <f t="shared" si="0"/>
        <v>23</v>
      </c>
      <c r="U7" s="3">
        <f t="shared" si="0"/>
        <v>23</v>
      </c>
      <c r="V7" s="3">
        <f t="shared" si="0"/>
        <v>23</v>
      </c>
      <c r="W7" s="3">
        <f t="shared" si="0"/>
        <v>23</v>
      </c>
      <c r="X7" s="3">
        <f t="shared" si="0"/>
        <v>23</v>
      </c>
      <c r="Y7" s="165"/>
      <c r="Z7" s="165"/>
    </row>
    <row r="8" spans="1:26" x14ac:dyDescent="0.2">
      <c r="B8" s="147"/>
      <c r="C8" s="24" t="s">
        <v>266</v>
      </c>
      <c r="D8" s="24">
        <f>D7*D6</f>
        <v>146000</v>
      </c>
      <c r="E8" s="24" t="s">
        <v>270</v>
      </c>
      <c r="F8" s="24"/>
      <c r="G8" s="24"/>
      <c r="H8" s="24"/>
      <c r="I8" s="148"/>
      <c r="L8" s="2" t="s">
        <v>311</v>
      </c>
      <c r="M8" s="162">
        <f>$D$23/($D$23+M5*$D$16*($H$29-M7)/$D$31)</f>
        <v>0.32975622547607025</v>
      </c>
      <c r="N8" s="162">
        <f t="shared" ref="N8:X8" si="1">$D$23/($D$23+N5*$D$16*($H$29-N7)/$D$31)</f>
        <v>0.35262852277712908</v>
      </c>
      <c r="O8" s="162">
        <f t="shared" si="1"/>
        <v>0.32975622547607025</v>
      </c>
      <c r="P8" s="162">
        <f t="shared" si="1"/>
        <v>0.33704336143564645</v>
      </c>
      <c r="Q8" s="162">
        <f t="shared" si="1"/>
        <v>0.32975622547607025</v>
      </c>
      <c r="R8" s="162">
        <f t="shared" si="1"/>
        <v>0.33704336143564645</v>
      </c>
      <c r="S8" s="162">
        <f t="shared" si="1"/>
        <v>0.32975622547607025</v>
      </c>
      <c r="T8" s="162">
        <f t="shared" si="1"/>
        <v>0.32975622547607025</v>
      </c>
      <c r="U8" s="162">
        <f t="shared" si="1"/>
        <v>0.33704336143564645</v>
      </c>
      <c r="V8" s="162">
        <f t="shared" si="1"/>
        <v>0.32975622547607025</v>
      </c>
      <c r="W8" s="162">
        <f t="shared" si="1"/>
        <v>0.33704336143564645</v>
      </c>
      <c r="X8" s="162">
        <f t="shared" si="1"/>
        <v>0.32975622547607025</v>
      </c>
      <c r="Y8" s="165"/>
      <c r="Z8" s="165"/>
    </row>
    <row r="9" spans="1:26" ht="18" x14ac:dyDescent="0.35">
      <c r="B9" s="147"/>
      <c r="C9" s="24" t="s">
        <v>271</v>
      </c>
      <c r="D9" s="140">
        <f>D8/1000</f>
        <v>146</v>
      </c>
      <c r="E9" s="24" t="s">
        <v>272</v>
      </c>
      <c r="F9" s="24"/>
      <c r="G9" s="24"/>
      <c r="H9" s="24"/>
      <c r="I9" s="148"/>
      <c r="K9" s="157" t="s">
        <v>301</v>
      </c>
      <c r="L9" s="161" t="s">
        <v>312</v>
      </c>
      <c r="M9" s="163">
        <f>M8*$D$22</f>
        <v>0.29442520131791988</v>
      </c>
      <c r="N9" s="163">
        <f t="shared" ref="N9:X9" si="2">N8*$D$22</f>
        <v>0.31484689533672239</v>
      </c>
      <c r="O9" s="163">
        <f t="shared" si="2"/>
        <v>0.29442520131791988</v>
      </c>
      <c r="P9" s="163">
        <f t="shared" si="2"/>
        <v>0.30093157271039861</v>
      </c>
      <c r="Q9" s="163">
        <f t="shared" si="2"/>
        <v>0.29442520131791988</v>
      </c>
      <c r="R9" s="163">
        <f t="shared" si="2"/>
        <v>0.30093157271039861</v>
      </c>
      <c r="S9" s="163">
        <f t="shared" si="2"/>
        <v>0.29442520131791988</v>
      </c>
      <c r="T9" s="163">
        <f t="shared" si="2"/>
        <v>0.29442520131791988</v>
      </c>
      <c r="U9" s="163">
        <f t="shared" si="2"/>
        <v>0.30093157271039861</v>
      </c>
      <c r="V9" s="163">
        <f t="shared" si="2"/>
        <v>0.29442520131791988</v>
      </c>
      <c r="W9" s="163">
        <f t="shared" si="2"/>
        <v>0.30093157271039861</v>
      </c>
      <c r="X9" s="163">
        <f t="shared" si="2"/>
        <v>0.29442520131791988</v>
      </c>
      <c r="Y9" s="167">
        <f>AVERAGE(M9:X9)</f>
        <v>0.29829579961697972</v>
      </c>
      <c r="Z9" s="165"/>
    </row>
    <row r="10" spans="1:26" x14ac:dyDescent="0.2">
      <c r="B10" s="147"/>
      <c r="C10" s="24" t="s">
        <v>273</v>
      </c>
      <c r="D10" s="24">
        <v>998</v>
      </c>
      <c r="E10" s="24" t="s">
        <v>274</v>
      </c>
      <c r="F10" s="24"/>
      <c r="G10" s="24"/>
      <c r="H10" s="24"/>
      <c r="I10" s="148"/>
      <c r="L10" s="2" t="s">
        <v>283</v>
      </c>
      <c r="M10" s="164">
        <f>($H$29-M7)/$D$31</f>
        <v>9</v>
      </c>
      <c r="N10" s="164">
        <f t="shared" ref="N10:X10" si="3">($H$29-N7)/$D$31</f>
        <v>9</v>
      </c>
      <c r="O10" s="164">
        <f t="shared" si="3"/>
        <v>9</v>
      </c>
      <c r="P10" s="164">
        <f t="shared" si="3"/>
        <v>9</v>
      </c>
      <c r="Q10" s="164">
        <f t="shared" si="3"/>
        <v>9</v>
      </c>
      <c r="R10" s="164">
        <f t="shared" si="3"/>
        <v>9</v>
      </c>
      <c r="S10" s="164">
        <f t="shared" si="3"/>
        <v>9</v>
      </c>
      <c r="T10" s="164">
        <f t="shared" si="3"/>
        <v>9</v>
      </c>
      <c r="U10" s="164">
        <f t="shared" si="3"/>
        <v>9</v>
      </c>
      <c r="V10" s="164">
        <f t="shared" si="3"/>
        <v>9</v>
      </c>
      <c r="W10" s="164">
        <f t="shared" si="3"/>
        <v>9</v>
      </c>
      <c r="X10" s="164">
        <f t="shared" si="3"/>
        <v>9</v>
      </c>
      <c r="Y10" s="166">
        <f>AVERAGE(M10:X10)</f>
        <v>9</v>
      </c>
      <c r="Z10" s="165" t="s">
        <v>256</v>
      </c>
    </row>
    <row r="11" spans="1:26" x14ac:dyDescent="0.2">
      <c r="B11" s="147"/>
      <c r="C11" s="141" t="s">
        <v>275</v>
      </c>
      <c r="D11" s="141">
        <v>4186</v>
      </c>
      <c r="E11" s="141" t="s">
        <v>276</v>
      </c>
      <c r="F11" s="141"/>
      <c r="G11" s="141"/>
      <c r="H11" s="141"/>
      <c r="I11" s="148"/>
      <c r="L11" s="2" t="s">
        <v>284</v>
      </c>
      <c r="M11" s="164">
        <f>M10*$D$16*M5</f>
        <v>5785.3440000000001</v>
      </c>
      <c r="N11" s="164">
        <f t="shared" ref="N11:X11" si="4">N10*$D$16*N5</f>
        <v>5225.4719999999998</v>
      </c>
      <c r="O11" s="164">
        <f t="shared" si="4"/>
        <v>5785.3440000000001</v>
      </c>
      <c r="P11" s="164">
        <f t="shared" si="4"/>
        <v>5598.72</v>
      </c>
      <c r="Q11" s="164">
        <f t="shared" si="4"/>
        <v>5785.3440000000001</v>
      </c>
      <c r="R11" s="164">
        <f t="shared" si="4"/>
        <v>5598.72</v>
      </c>
      <c r="S11" s="164">
        <f t="shared" si="4"/>
        <v>5785.3440000000001</v>
      </c>
      <c r="T11" s="164">
        <f t="shared" si="4"/>
        <v>5785.3440000000001</v>
      </c>
      <c r="U11" s="164">
        <f t="shared" si="4"/>
        <v>5598.72</v>
      </c>
      <c r="V11" s="164">
        <f t="shared" si="4"/>
        <v>5785.3440000000001</v>
      </c>
      <c r="W11" s="164">
        <f t="shared" si="4"/>
        <v>5598.72</v>
      </c>
      <c r="X11" s="164">
        <f t="shared" si="4"/>
        <v>5785.3440000000001</v>
      </c>
      <c r="Y11" s="168">
        <f>SUM(M11:X11)</f>
        <v>68117.759999999995</v>
      </c>
      <c r="Z11" t="s">
        <v>0</v>
      </c>
    </row>
    <row r="12" spans="1:26" x14ac:dyDescent="0.2">
      <c r="B12" s="147"/>
      <c r="C12" s="137" t="s">
        <v>277</v>
      </c>
      <c r="D12" s="142">
        <v>50</v>
      </c>
      <c r="E12" s="137" t="s">
        <v>125</v>
      </c>
      <c r="F12" s="141"/>
      <c r="G12" s="141"/>
      <c r="H12" s="141"/>
      <c r="I12" s="148"/>
    </row>
    <row r="13" spans="1:26" s="31" customFormat="1" x14ac:dyDescent="0.2">
      <c r="A13"/>
      <c r="B13" s="147"/>
      <c r="C13" s="141" t="s">
        <v>278</v>
      </c>
      <c r="D13" s="143">
        <f>D9*D10*D11*D12/1000000</f>
        <v>30496.684399999998</v>
      </c>
      <c r="E13" s="141" t="s">
        <v>279</v>
      </c>
      <c r="F13" s="143">
        <f>D13/3.6</f>
        <v>8471.3012222222223</v>
      </c>
      <c r="G13" s="141" t="s">
        <v>280</v>
      </c>
      <c r="H13" s="141"/>
      <c r="I13" s="151"/>
      <c r="M13" s="237">
        <f>$D$39*M5/SUM($M$5:$X$5)</f>
        <v>8683.0902859705002</v>
      </c>
      <c r="N13" s="237">
        <f t="shared" ref="N13:X13" si="5">$D$39*N5/SUM($M$5:$X$5)</f>
        <v>7842.7912260378735</v>
      </c>
      <c r="O13" s="237">
        <f t="shared" si="5"/>
        <v>8683.0902859705002</v>
      </c>
      <c r="P13" s="237">
        <f t="shared" si="5"/>
        <v>8402.9905993262928</v>
      </c>
      <c r="Q13" s="237">
        <f t="shared" si="5"/>
        <v>8683.0902859705002</v>
      </c>
      <c r="R13" s="237">
        <f t="shared" si="5"/>
        <v>8402.9905993262928</v>
      </c>
      <c r="S13" s="237">
        <f t="shared" si="5"/>
        <v>8683.0902859705002</v>
      </c>
      <c r="T13" s="237">
        <f t="shared" si="5"/>
        <v>8683.0902859705002</v>
      </c>
      <c r="U13" s="237">
        <f t="shared" si="5"/>
        <v>8402.9905993262928</v>
      </c>
      <c r="V13" s="237">
        <f t="shared" si="5"/>
        <v>8683.0902859705002</v>
      </c>
      <c r="W13" s="237">
        <f t="shared" si="5"/>
        <v>8402.9905993262928</v>
      </c>
      <c r="X13" s="237">
        <f t="shared" si="5"/>
        <v>8683.0902859705002</v>
      </c>
    </row>
    <row r="14" spans="1:26" x14ac:dyDescent="0.2">
      <c r="A14" s="31"/>
      <c r="B14" s="147"/>
      <c r="C14" s="141"/>
      <c r="D14" s="141"/>
      <c r="E14" s="141"/>
      <c r="F14" s="141"/>
      <c r="G14" s="141"/>
      <c r="H14" s="141"/>
      <c r="I14" s="148"/>
    </row>
    <row r="15" spans="1:26" s="31" customFormat="1" x14ac:dyDescent="0.2">
      <c r="A15"/>
      <c r="B15" s="147"/>
      <c r="C15" s="137" t="s">
        <v>281</v>
      </c>
      <c r="D15" s="138">
        <f>Gegevensinvoer!C41</f>
        <v>15</v>
      </c>
      <c r="E15" s="137" t="s">
        <v>282</v>
      </c>
      <c r="F15" s="141"/>
      <c r="G15" s="141"/>
      <c r="H15" s="141"/>
      <c r="I15" s="151"/>
      <c r="M15" s="237"/>
    </row>
    <row r="16" spans="1:26" x14ac:dyDescent="0.2">
      <c r="B16" s="147"/>
      <c r="C16" s="141" t="s">
        <v>281</v>
      </c>
      <c r="D16" s="144">
        <f>D15*D4</f>
        <v>240</v>
      </c>
      <c r="E16" s="141" t="s">
        <v>109</v>
      </c>
      <c r="F16" s="141"/>
      <c r="G16" s="141"/>
      <c r="H16" s="141"/>
      <c r="I16" s="148"/>
    </row>
    <row r="17" spans="2:9" x14ac:dyDescent="0.2">
      <c r="B17" s="150"/>
      <c r="C17" s="141"/>
      <c r="D17" s="141"/>
      <c r="E17" s="141"/>
      <c r="F17" s="141"/>
      <c r="G17" s="141"/>
      <c r="H17" s="141"/>
      <c r="I17" s="148"/>
    </row>
    <row r="18" spans="2:9" x14ac:dyDescent="0.2">
      <c r="B18" s="147"/>
      <c r="C18" s="141" t="s">
        <v>310</v>
      </c>
      <c r="D18" s="160">
        <f>Gegevensinvoer!C42</f>
        <v>3</v>
      </c>
      <c r="E18" s="137" t="s">
        <v>109</v>
      </c>
      <c r="F18" s="141"/>
      <c r="G18" s="141"/>
      <c r="H18" s="141"/>
      <c r="I18" s="148"/>
    </row>
    <row r="19" spans="2:9" x14ac:dyDescent="0.2">
      <c r="B19" s="147"/>
      <c r="C19" s="158" t="s">
        <v>309</v>
      </c>
      <c r="D19" s="3">
        <v>1</v>
      </c>
      <c r="E19" s="3"/>
      <c r="F19" s="141"/>
      <c r="G19" s="141"/>
      <c r="H19" s="141"/>
      <c r="I19" s="148"/>
    </row>
    <row r="20" spans="2:9" x14ac:dyDescent="0.2">
      <c r="B20" s="147"/>
      <c r="C20" s="158" t="s">
        <v>314</v>
      </c>
      <c r="D20" s="3">
        <v>1</v>
      </c>
      <c r="E20" s="3"/>
      <c r="F20" s="141"/>
      <c r="G20" s="141"/>
      <c r="H20" s="141"/>
      <c r="I20" s="148"/>
    </row>
    <row r="21" spans="2:9" x14ac:dyDescent="0.2">
      <c r="B21" s="147"/>
      <c r="C21" s="158"/>
      <c r="D21" s="3"/>
      <c r="E21" s="3"/>
      <c r="F21" s="141"/>
      <c r="G21" s="141"/>
      <c r="H21" s="141"/>
      <c r="I21" s="148"/>
    </row>
    <row r="22" spans="2:9" ht="15.75" x14ac:dyDescent="0.3">
      <c r="B22" s="147"/>
      <c r="C22" s="141" t="s">
        <v>316</v>
      </c>
      <c r="D22" s="145">
        <f>25/(25+D18/D20)</f>
        <v>0.8928571428571429</v>
      </c>
      <c r="E22" s="141"/>
      <c r="F22" s="141"/>
      <c r="G22" s="141"/>
      <c r="H22" s="141"/>
      <c r="I22" s="148"/>
    </row>
    <row r="23" spans="2:9" ht="15.75" x14ac:dyDescent="0.3">
      <c r="B23" s="147"/>
      <c r="C23" s="3" t="s">
        <v>315</v>
      </c>
      <c r="D23" s="139">
        <f>$D$13/$D$22*$D$19/12</f>
        <v>2846.3572106666666</v>
      </c>
      <c r="E23" s="24" t="s">
        <v>330</v>
      </c>
      <c r="F23" s="24"/>
      <c r="G23" s="24"/>
      <c r="H23" s="80" t="s">
        <v>297</v>
      </c>
      <c r="I23" s="156" t="s">
        <v>317</v>
      </c>
    </row>
    <row r="24" spans="2:9" x14ac:dyDescent="0.2">
      <c r="B24" s="147"/>
      <c r="C24" s="3"/>
      <c r="D24" s="139"/>
      <c r="E24" s="24"/>
      <c r="F24" s="24"/>
      <c r="G24" s="24"/>
      <c r="H24" s="80"/>
      <c r="I24" s="156"/>
    </row>
    <row r="25" spans="2:9" x14ac:dyDescent="0.2">
      <c r="B25" s="147"/>
      <c r="C25" s="141" t="s">
        <v>291</v>
      </c>
      <c r="D25" s="125">
        <v>1</v>
      </c>
      <c r="E25" s="24"/>
      <c r="F25" s="24">
        <v>1</v>
      </c>
      <c r="G25" s="24" t="s">
        <v>302</v>
      </c>
      <c r="H25" s="80">
        <v>8</v>
      </c>
      <c r="I25" s="156">
        <v>23</v>
      </c>
    </row>
    <row r="26" spans="2:9" ht="15.75" x14ac:dyDescent="0.3">
      <c r="B26" s="147"/>
      <c r="C26" s="141" t="s">
        <v>297</v>
      </c>
      <c r="D26" s="24">
        <f>VLOOKUP(D25,F25:I27,3,FALSE)</f>
        <v>8</v>
      </c>
      <c r="E26" s="24" t="s">
        <v>296</v>
      </c>
      <c r="F26" s="24">
        <v>2</v>
      </c>
      <c r="G26" s="24" t="s">
        <v>303</v>
      </c>
      <c r="H26" s="80">
        <v>10</v>
      </c>
      <c r="I26" s="156"/>
    </row>
    <row r="27" spans="2:9" x14ac:dyDescent="0.2">
      <c r="B27" s="147"/>
      <c r="C27" s="141"/>
      <c r="D27" s="24"/>
      <c r="E27" s="24"/>
      <c r="F27" s="24">
        <v>3</v>
      </c>
      <c r="G27" s="24" t="s">
        <v>304</v>
      </c>
      <c r="H27" s="80">
        <v>25</v>
      </c>
      <c r="I27" s="148"/>
    </row>
    <row r="28" spans="2:9" ht="15.75" x14ac:dyDescent="0.3">
      <c r="B28" s="147"/>
      <c r="C28" s="141" t="s">
        <v>298</v>
      </c>
      <c r="D28" s="190">
        <v>3.5999999999999997E-2</v>
      </c>
      <c r="E28" s="191" t="s">
        <v>294</v>
      </c>
      <c r="F28" s="190">
        <v>3.5999999999999997E-2</v>
      </c>
      <c r="G28" s="24"/>
      <c r="H28" s="24"/>
      <c r="I28" s="148"/>
    </row>
    <row r="29" spans="2:9" x14ac:dyDescent="0.2">
      <c r="B29" s="147"/>
      <c r="C29" s="141" t="s">
        <v>293</v>
      </c>
      <c r="D29" s="190">
        <v>7.4999999999999997E-2</v>
      </c>
      <c r="E29" s="191" t="s">
        <v>109</v>
      </c>
      <c r="F29" s="190">
        <v>7.4999999999999997E-2</v>
      </c>
      <c r="G29" s="104" t="s">
        <v>295</v>
      </c>
      <c r="H29" s="24">
        <f>D12+10</f>
        <v>60</v>
      </c>
      <c r="I29" s="148" t="s">
        <v>125</v>
      </c>
    </row>
    <row r="30" spans="2:9" x14ac:dyDescent="0.2">
      <c r="B30" s="147"/>
      <c r="C30" s="141" t="s">
        <v>292</v>
      </c>
      <c r="D30" s="190">
        <v>5.3999999999999999E-2</v>
      </c>
      <c r="E30" s="191" t="s">
        <v>109</v>
      </c>
      <c r="F30" s="190">
        <v>5.3999999999999999E-2</v>
      </c>
      <c r="G30" s="104" t="s">
        <v>249</v>
      </c>
      <c r="H30" s="24">
        <f>D30+2*D29</f>
        <v>0.20399999999999999</v>
      </c>
      <c r="I30" s="148" t="s">
        <v>109</v>
      </c>
    </row>
    <row r="31" spans="2:9" ht="13.5" thickBot="1" x14ac:dyDescent="0.25">
      <c r="B31" s="147"/>
      <c r="C31" t="s">
        <v>299</v>
      </c>
      <c r="D31" s="192">
        <f>(H29-I25)/(D32)</f>
        <v>4.1111111111111107</v>
      </c>
      <c r="E31" s="193" t="s">
        <v>300</v>
      </c>
      <c r="F31" s="192">
        <f>0.6/2/F28/PI()*LN(H30/F30)+1/(D26*H30*PI())</f>
        <v>3.7206854232620645</v>
      </c>
      <c r="G31" s="24"/>
      <c r="H31" s="24"/>
      <c r="I31" s="148"/>
    </row>
    <row r="32" spans="2:9" ht="13.5" thickBot="1" x14ac:dyDescent="0.25">
      <c r="B32" s="147"/>
      <c r="C32" s="137" t="s">
        <v>283</v>
      </c>
      <c r="D32" s="261">
        <f>Gegevensinvoer!C43</f>
        <v>9</v>
      </c>
      <c r="E32" s="137" t="s">
        <v>256</v>
      </c>
      <c r="F32" s="141"/>
      <c r="G32" s="141"/>
      <c r="H32" s="141"/>
      <c r="I32" s="148"/>
    </row>
    <row r="33" spans="2:12" x14ac:dyDescent="0.2">
      <c r="B33" s="147"/>
      <c r="C33" s="158" t="s">
        <v>284</v>
      </c>
      <c r="D33" s="170">
        <f>D32*D16</f>
        <v>2160</v>
      </c>
      <c r="E33" s="158" t="s">
        <v>89</v>
      </c>
      <c r="F33" s="170">
        <f>D33*365*24*3600/1000000</f>
        <v>68117.759999999995</v>
      </c>
      <c r="G33" s="158" t="s">
        <v>279</v>
      </c>
      <c r="H33" s="141"/>
      <c r="I33" s="148"/>
      <c r="L33" s="40"/>
    </row>
    <row r="34" spans="2:12" x14ac:dyDescent="0.2">
      <c r="B34" s="147"/>
      <c r="C34" s="141"/>
      <c r="D34" s="162"/>
      <c r="E34" s="3"/>
      <c r="F34" s="141"/>
      <c r="G34" s="141"/>
      <c r="H34" s="141"/>
      <c r="I34" s="148"/>
    </row>
    <row r="35" spans="2:12" x14ac:dyDescent="0.2">
      <c r="B35" s="147"/>
      <c r="C35" s="159" t="s">
        <v>313</v>
      </c>
      <c r="D35" s="145">
        <f>Y9</f>
        <v>0.29829579961697972</v>
      </c>
      <c r="E35" s="141"/>
      <c r="F35" s="141"/>
      <c r="G35" s="141"/>
      <c r="H35" s="141"/>
      <c r="I35" s="148"/>
    </row>
    <row r="36" spans="2:12" ht="15" x14ac:dyDescent="0.25">
      <c r="B36" s="147"/>
      <c r="C36" s="141"/>
      <c r="D36" s="145"/>
      <c r="E36" s="141"/>
      <c r="F36" s="141"/>
      <c r="G36" s="141"/>
      <c r="H36" s="141"/>
      <c r="I36" s="148"/>
      <c r="K36" s="157"/>
    </row>
    <row r="37" spans="2:12" ht="15" x14ac:dyDescent="0.25">
      <c r="B37" s="147"/>
      <c r="C37" s="141"/>
      <c r="D37" s="145"/>
      <c r="E37" s="141"/>
      <c r="F37" s="141"/>
      <c r="G37" s="141"/>
      <c r="H37" s="141"/>
      <c r="I37" s="148"/>
      <c r="K37" s="157"/>
    </row>
    <row r="38" spans="2:12" x14ac:dyDescent="0.2">
      <c r="B38" s="147"/>
      <c r="C38" s="141"/>
      <c r="D38" s="145"/>
      <c r="E38" s="141"/>
      <c r="F38" s="141"/>
      <c r="G38" s="141"/>
      <c r="H38" s="141"/>
      <c r="I38" s="148"/>
    </row>
    <row r="39" spans="2:12" x14ac:dyDescent="0.2">
      <c r="B39" s="147"/>
      <c r="C39" s="141" t="s">
        <v>201</v>
      </c>
      <c r="D39" s="143">
        <f>D20*D13/D35</f>
        <v>102236.38562513655</v>
      </c>
      <c r="E39" s="141" t="s">
        <v>279</v>
      </c>
      <c r="F39" s="143">
        <f>D39/3.6</f>
        <v>28398.996006982376</v>
      </c>
      <c r="G39" s="141" t="s">
        <v>280</v>
      </c>
      <c r="H39" s="141"/>
      <c r="I39" s="148"/>
    </row>
    <row r="40" spans="2:12" x14ac:dyDescent="0.2">
      <c r="B40" s="147"/>
      <c r="C40" s="141"/>
      <c r="D40" s="171"/>
      <c r="E40" s="141"/>
      <c r="F40" s="143"/>
      <c r="G40" s="141"/>
      <c r="H40" s="141"/>
      <c r="I40" s="148"/>
    </row>
    <row r="41" spans="2:12" x14ac:dyDescent="0.2">
      <c r="B41" s="147"/>
      <c r="C41" s="141" t="s">
        <v>285</v>
      </c>
      <c r="D41" s="145">
        <f>Gegevensinvoer!C40</f>
        <v>0.45</v>
      </c>
      <c r="E41" s="141" t="s">
        <v>286</v>
      </c>
      <c r="F41" s="141"/>
      <c r="G41" s="141"/>
      <c r="H41" s="141"/>
      <c r="I41" s="148"/>
    </row>
    <row r="42" spans="2:12" x14ac:dyDescent="0.2">
      <c r="B42" s="147"/>
      <c r="C42" s="141" t="s">
        <v>287</v>
      </c>
      <c r="D42" s="143">
        <f>D39/D41</f>
        <v>227191.968055859</v>
      </c>
      <c r="E42" s="141" t="s">
        <v>279</v>
      </c>
      <c r="F42" s="143">
        <f>F39/D41</f>
        <v>63108.880015516392</v>
      </c>
      <c r="G42" s="141" t="s">
        <v>280</v>
      </c>
      <c r="H42" s="141"/>
      <c r="I42" s="148"/>
    </row>
    <row r="43" spans="2:12" x14ac:dyDescent="0.2">
      <c r="B43" s="147"/>
      <c r="C43" s="141"/>
      <c r="D43" s="143"/>
      <c r="E43" s="141"/>
      <c r="F43" s="143"/>
      <c r="G43" s="141"/>
      <c r="H43" s="141"/>
      <c r="I43" s="148"/>
    </row>
    <row r="44" spans="2:12" x14ac:dyDescent="0.2">
      <c r="B44" s="147"/>
      <c r="C44" s="141" t="s">
        <v>380</v>
      </c>
      <c r="D44" s="143"/>
      <c r="E44" s="141"/>
      <c r="F44" s="143"/>
      <c r="G44" s="141"/>
      <c r="H44" s="141"/>
      <c r="I44" s="148"/>
    </row>
    <row r="45" spans="2:12" x14ac:dyDescent="0.2">
      <c r="B45" s="147"/>
      <c r="C45" s="182" t="s">
        <v>382</v>
      </c>
      <c r="D45" s="143">
        <f>Gegevensinvoer!C44</f>
        <v>0</v>
      </c>
      <c r="E45" s="141" t="s">
        <v>65</v>
      </c>
      <c r="F45" s="143"/>
      <c r="G45" s="141"/>
      <c r="H45" s="141"/>
      <c r="I45" s="148"/>
    </row>
    <row r="46" spans="2:12" x14ac:dyDescent="0.2">
      <c r="B46" s="147"/>
      <c r="C46" s="182" t="s">
        <v>381</v>
      </c>
      <c r="D46" s="143">
        <f>Gegevensinvoer!C46</f>
        <v>0</v>
      </c>
      <c r="E46" s="141" t="s">
        <v>337</v>
      </c>
      <c r="F46" s="143"/>
      <c r="G46" s="141"/>
      <c r="H46" s="141"/>
      <c r="I46" s="148"/>
    </row>
    <row r="47" spans="2:12" x14ac:dyDescent="0.2">
      <c r="B47" s="147"/>
      <c r="C47" s="182" t="s">
        <v>383</v>
      </c>
      <c r="D47" s="143">
        <f>Gegevensinvoer!C45</f>
        <v>0</v>
      </c>
      <c r="E47" s="141" t="s">
        <v>337</v>
      </c>
      <c r="F47" s="143"/>
      <c r="G47" s="141"/>
      <c r="H47" s="141"/>
      <c r="I47" s="148"/>
    </row>
    <row r="48" spans="2:12" x14ac:dyDescent="0.2">
      <c r="B48" s="147"/>
      <c r="C48" s="182"/>
      <c r="D48" s="143"/>
      <c r="E48" s="141"/>
      <c r="F48" s="143"/>
      <c r="G48" s="141"/>
      <c r="H48" s="141"/>
      <c r="I48" s="148"/>
    </row>
    <row r="49" spans="1:9" x14ac:dyDescent="0.2">
      <c r="B49" s="147"/>
      <c r="C49" s="141" t="s">
        <v>288</v>
      </c>
      <c r="D49" s="141">
        <v>1</v>
      </c>
      <c r="E49" s="141"/>
      <c r="F49" s="141"/>
      <c r="G49" s="141"/>
      <c r="H49" s="141"/>
      <c r="I49" s="148"/>
    </row>
    <row r="50" spans="1:9" x14ac:dyDescent="0.2">
      <c r="B50" s="147"/>
      <c r="C50" s="137" t="s">
        <v>219</v>
      </c>
      <c r="D50" s="146">
        <f>IF(Gegevensinvoer!C37="",zonnecollector!Q17,Gegevensinvoer!C37)</f>
        <v>227191.58626930515</v>
      </c>
      <c r="E50" s="137" t="s">
        <v>279</v>
      </c>
      <c r="F50" s="146">
        <f>D50/3.6</f>
        <v>63108.773963695872</v>
      </c>
      <c r="G50" s="137" t="s">
        <v>280</v>
      </c>
      <c r="H50" s="141"/>
      <c r="I50" s="148"/>
    </row>
    <row r="51" spans="1:9" x14ac:dyDescent="0.2">
      <c r="B51" s="147"/>
      <c r="C51" s="24"/>
      <c r="D51" s="24"/>
      <c r="E51" s="24"/>
      <c r="F51" s="169"/>
      <c r="G51" s="24"/>
      <c r="H51" s="24"/>
      <c r="I51" s="148"/>
    </row>
    <row r="52" spans="1:9" x14ac:dyDescent="0.2">
      <c r="B52" s="147"/>
      <c r="C52" s="24" t="s">
        <v>289</v>
      </c>
      <c r="D52" s="24">
        <f>Parameters!B130*D4</f>
        <v>288000</v>
      </c>
      <c r="E52" s="24" t="s">
        <v>279</v>
      </c>
      <c r="F52" s="24"/>
      <c r="G52" s="24"/>
      <c r="H52" s="24"/>
      <c r="I52" s="148"/>
    </row>
    <row r="53" spans="1:9" x14ac:dyDescent="0.2">
      <c r="B53" s="147"/>
      <c r="C53" s="24"/>
      <c r="D53" s="139"/>
      <c r="E53" s="24"/>
      <c r="F53" s="24"/>
      <c r="G53" s="24"/>
      <c r="H53" s="24"/>
      <c r="I53" s="148"/>
    </row>
    <row r="54" spans="1:9" ht="13.5" thickBot="1" x14ac:dyDescent="0.25">
      <c r="B54" s="152"/>
      <c r="C54" s="153"/>
      <c r="D54" s="154">
        <f>D50/D52</f>
        <v>0.78885967454619843</v>
      </c>
      <c r="E54" s="153"/>
      <c r="F54" s="153"/>
      <c r="G54" s="153"/>
      <c r="H54" s="153"/>
      <c r="I54" s="155"/>
    </row>
    <row r="55" spans="1:9" x14ac:dyDescent="0.2">
      <c r="B55" s="3"/>
      <c r="C55" s="3"/>
      <c r="D55" s="3"/>
      <c r="E55" s="3"/>
      <c r="F55" s="3"/>
      <c r="G55" s="3"/>
      <c r="H55" s="3"/>
      <c r="I55" s="3"/>
    </row>
    <row r="58" spans="1:9" x14ac:dyDescent="0.2">
      <c r="A58" s="17"/>
      <c r="B58" s="105"/>
      <c r="C58" s="18"/>
      <c r="D58" s="18"/>
      <c r="E58" s="18"/>
      <c r="F58" s="18"/>
    </row>
  </sheetData>
  <sheetProtection password="B2FB" sheet="1" objects="1" scenarios="1"/>
  <phoneticPr fontId="2" type="noConversion"/>
  <pageMargins left="0.75" right="0.75" top="1" bottom="1" header="0.5" footer="0.5"/>
  <pageSetup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theme="9" tint="-0.249977111117893"/>
  </sheetPr>
  <dimension ref="A1:ER63"/>
  <sheetViews>
    <sheetView workbookViewId="0">
      <selection activeCell="K13" sqref="K13"/>
    </sheetView>
  </sheetViews>
  <sheetFormatPr defaultRowHeight="12.75" x14ac:dyDescent="0.2"/>
  <cols>
    <col min="1" max="1" width="4.85546875" customWidth="1"/>
    <col min="17" max="17" width="9.5703125" bestFit="1" customWidth="1"/>
    <col min="47" max="48" width="11.5703125" customWidth="1"/>
    <col min="50" max="50" width="9.85546875" customWidth="1"/>
    <col min="53" max="53" width="10.140625" customWidth="1"/>
  </cols>
  <sheetData>
    <row r="1" spans="1:55" x14ac:dyDescent="0.2">
      <c r="B1" s="37"/>
      <c r="C1" s="37"/>
      <c r="D1" s="37"/>
      <c r="AP1" s="18"/>
      <c r="AQ1" s="18"/>
      <c r="AR1" s="18"/>
      <c r="AS1" s="18"/>
      <c r="AT1" s="62"/>
      <c r="AU1" s="18"/>
      <c r="AV1" s="196"/>
      <c r="AW1" s="18"/>
      <c r="AX1" s="18"/>
      <c r="AY1" s="18"/>
      <c r="AZ1" s="18"/>
      <c r="BA1" s="18"/>
      <c r="BB1" s="18"/>
      <c r="BC1" s="18"/>
    </row>
    <row r="2" spans="1:55" s="31" customFormat="1" x14ac:dyDescent="0.2">
      <c r="B2" s="279" t="s">
        <v>431</v>
      </c>
      <c r="C2" s="279"/>
      <c r="D2" s="279"/>
      <c r="E2" s="279"/>
      <c r="F2" s="279"/>
      <c r="G2" s="279"/>
      <c r="H2" s="279"/>
      <c r="I2" s="279"/>
      <c r="J2" s="279"/>
      <c r="K2" s="279"/>
      <c r="L2" s="279"/>
      <c r="M2" s="279"/>
      <c r="N2" s="279"/>
      <c r="O2" s="279"/>
      <c r="P2" s="279"/>
      <c r="Q2" s="279"/>
      <c r="R2" s="279"/>
      <c r="S2" s="279"/>
      <c r="T2" s="279"/>
      <c r="AP2" s="75"/>
      <c r="AQ2" s="75"/>
      <c r="AR2" s="75"/>
      <c r="AS2" s="75"/>
      <c r="AT2" s="75"/>
      <c r="AU2" s="75"/>
      <c r="AV2" s="75"/>
      <c r="AW2" s="75"/>
      <c r="AX2" s="75"/>
      <c r="AY2" s="75"/>
      <c r="AZ2" s="75"/>
      <c r="BA2" s="75"/>
      <c r="BB2" s="75"/>
      <c r="BC2" s="75"/>
    </row>
    <row r="3" spans="1:55" s="31" customFormat="1" ht="13.5" thickBot="1" x14ac:dyDescent="0.25">
      <c r="A3" s="75"/>
      <c r="B3" s="75"/>
      <c r="C3" s="75"/>
      <c r="D3" s="75"/>
      <c r="E3" s="75"/>
      <c r="F3" s="75"/>
      <c r="G3" s="75"/>
      <c r="H3" s="75"/>
      <c r="I3" s="75"/>
      <c r="J3" s="75"/>
      <c r="K3" s="75"/>
      <c r="L3" s="75"/>
      <c r="M3" s="75"/>
      <c r="N3" s="75"/>
      <c r="O3" s="75"/>
      <c r="P3" s="75"/>
      <c r="Q3" s="75"/>
      <c r="R3" s="75"/>
      <c r="S3" s="75"/>
      <c r="T3" s="75"/>
      <c r="U3" s="75"/>
      <c r="V3" s="75"/>
      <c r="AP3" s="75"/>
      <c r="AQ3" s="75"/>
      <c r="AR3" s="75"/>
      <c r="AS3" s="75"/>
      <c r="AT3" s="75"/>
      <c r="AU3" s="75"/>
      <c r="AV3" s="75"/>
      <c r="AW3" s="75"/>
      <c r="AX3" s="75"/>
      <c r="AY3" s="75"/>
      <c r="AZ3" s="75"/>
      <c r="BA3" s="75"/>
      <c r="BB3" s="75"/>
      <c r="BC3" s="75"/>
    </row>
    <row r="4" spans="1:55" s="31" customFormat="1" x14ac:dyDescent="0.2">
      <c r="A4" s="75"/>
      <c r="B4" s="238"/>
      <c r="C4" s="284"/>
      <c r="D4" s="284"/>
      <c r="E4" s="284"/>
      <c r="F4" s="284"/>
      <c r="G4" s="284"/>
      <c r="H4" s="284"/>
      <c r="I4" s="284"/>
      <c r="J4" s="284"/>
      <c r="K4" s="284"/>
      <c r="L4" s="284"/>
      <c r="M4" s="284"/>
      <c r="N4" s="284"/>
      <c r="O4" s="284"/>
      <c r="P4" s="284"/>
      <c r="Q4" s="284"/>
      <c r="R4" s="284"/>
      <c r="S4" s="284"/>
      <c r="T4" s="285"/>
      <c r="U4" s="75"/>
      <c r="V4" s="75"/>
      <c r="AP4" s="75"/>
      <c r="AQ4" s="75"/>
      <c r="AR4" s="75"/>
      <c r="AS4" s="75"/>
      <c r="AT4" s="75"/>
      <c r="AU4" s="75"/>
      <c r="AV4" s="75"/>
      <c r="AW4" s="75"/>
      <c r="AX4" s="75"/>
      <c r="AY4" s="75"/>
      <c r="AZ4" s="75"/>
      <c r="BA4" s="75"/>
      <c r="BB4" s="75"/>
      <c r="BC4" s="75"/>
    </row>
    <row r="5" spans="1:55" s="31" customFormat="1" x14ac:dyDescent="0.2">
      <c r="A5" s="75"/>
      <c r="B5" s="239" t="s">
        <v>432</v>
      </c>
      <c r="C5" s="286"/>
      <c r="D5" s="286"/>
      <c r="E5" s="286"/>
      <c r="F5" s="286"/>
      <c r="G5" s="286"/>
      <c r="H5" s="286"/>
      <c r="I5" s="286"/>
      <c r="J5" s="286"/>
      <c r="K5" s="286"/>
      <c r="L5" s="286"/>
      <c r="M5" s="286"/>
      <c r="N5" s="286"/>
      <c r="O5" s="286"/>
      <c r="P5" s="286"/>
      <c r="Q5" s="286"/>
      <c r="R5" s="286"/>
      <c r="S5" s="286"/>
      <c r="T5" s="287"/>
      <c r="U5" s="75"/>
      <c r="V5" s="75"/>
      <c r="AP5" s="75"/>
      <c r="AQ5" s="75"/>
      <c r="AR5" s="75"/>
      <c r="AS5" s="75"/>
      <c r="AT5" s="75"/>
      <c r="AU5" s="75"/>
      <c r="AV5" s="75"/>
      <c r="AW5" s="75"/>
      <c r="AX5" s="75"/>
      <c r="AY5" s="75"/>
      <c r="AZ5" s="75"/>
      <c r="BA5" s="75"/>
      <c r="BB5" s="75"/>
      <c r="BC5" s="75"/>
    </row>
    <row r="6" spans="1:55" s="31" customFormat="1" ht="13.5" thickBot="1" x14ac:dyDescent="0.25">
      <c r="A6" s="75"/>
      <c r="B6" s="240"/>
      <c r="C6" s="288"/>
      <c r="D6" s="288"/>
      <c r="E6" s="288"/>
      <c r="F6" s="288"/>
      <c r="G6" s="288"/>
      <c r="H6" s="288"/>
      <c r="I6" s="288"/>
      <c r="J6" s="288"/>
      <c r="K6" s="288"/>
      <c r="L6" s="288"/>
      <c r="M6" s="288"/>
      <c r="N6" s="288"/>
      <c r="O6" s="288"/>
      <c r="P6" s="288"/>
      <c r="Q6" s="288"/>
      <c r="R6" s="288"/>
      <c r="S6" s="288"/>
      <c r="T6" s="289"/>
      <c r="U6" s="75"/>
      <c r="V6" s="75"/>
      <c r="AP6" s="75"/>
      <c r="AQ6" s="75"/>
      <c r="AR6" s="75"/>
      <c r="AS6" s="75"/>
      <c r="AT6" s="75"/>
      <c r="AU6" s="75"/>
      <c r="AV6" s="75"/>
      <c r="AW6" s="75"/>
      <c r="AX6" s="75"/>
      <c r="AY6" s="75"/>
      <c r="AZ6" s="75"/>
      <c r="BA6" s="75"/>
      <c r="BB6" s="75"/>
      <c r="BC6" s="75"/>
    </row>
    <row r="7" spans="1:55" s="31" customFormat="1" x14ac:dyDescent="0.2">
      <c r="A7" s="75"/>
      <c r="B7" s="75"/>
      <c r="C7" s="75"/>
      <c r="D7" s="75"/>
      <c r="E7" s="75"/>
      <c r="F7" s="75"/>
      <c r="G7" s="75"/>
      <c r="H7" s="75"/>
      <c r="I7" s="75"/>
      <c r="J7" s="75"/>
      <c r="K7" s="75"/>
      <c r="L7" s="75"/>
      <c r="M7" s="75"/>
      <c r="N7" s="75"/>
      <c r="O7" s="75"/>
      <c r="P7" s="75"/>
      <c r="Q7" s="75"/>
      <c r="R7" s="75"/>
      <c r="S7" s="75"/>
      <c r="T7" s="75"/>
      <c r="U7" s="75"/>
      <c r="V7" s="75"/>
      <c r="AP7" s="75"/>
      <c r="AQ7" s="75"/>
      <c r="AR7" s="75"/>
      <c r="AS7" s="75"/>
      <c r="AT7" s="75"/>
      <c r="AU7" s="75"/>
      <c r="AV7" s="75"/>
      <c r="AW7" s="75"/>
      <c r="AX7" s="75"/>
      <c r="AY7" s="75"/>
      <c r="AZ7" s="75"/>
      <c r="BA7" s="75"/>
      <c r="BB7" s="75"/>
      <c r="BC7" s="75"/>
    </row>
    <row r="8" spans="1:55" s="31" customFormat="1" x14ac:dyDescent="0.2">
      <c r="A8" s="75"/>
      <c r="B8" s="75"/>
      <c r="C8" s="75"/>
      <c r="D8" s="75"/>
      <c r="E8" s="75"/>
      <c r="F8" s="75"/>
      <c r="G8" s="75"/>
      <c r="H8" s="75"/>
      <c r="I8" s="75"/>
      <c r="J8" s="75"/>
      <c r="K8" s="75"/>
      <c r="L8" s="75"/>
      <c r="M8" s="75"/>
      <c r="N8" s="75"/>
      <c r="O8" s="75"/>
      <c r="P8" s="75"/>
      <c r="Q8" s="75"/>
      <c r="R8" s="75"/>
      <c r="S8" s="75"/>
      <c r="T8" s="75"/>
      <c r="U8" s="75"/>
      <c r="V8" s="75"/>
      <c r="AP8" s="75"/>
      <c r="AQ8" s="75"/>
      <c r="AR8" s="75"/>
      <c r="AS8" s="75"/>
      <c r="AT8" s="75"/>
      <c r="AU8" s="75"/>
      <c r="AV8" s="75"/>
      <c r="AW8" s="75"/>
      <c r="AX8" s="75"/>
      <c r="AY8" s="75"/>
      <c r="AZ8" s="75"/>
      <c r="BA8" s="75"/>
      <c r="BB8" s="75"/>
      <c r="BC8" s="75"/>
    </row>
    <row r="9" spans="1:55" x14ac:dyDescent="0.2">
      <c r="B9" s="37" t="s">
        <v>331</v>
      </c>
      <c r="C9" s="37"/>
      <c r="D9" s="37"/>
      <c r="E9" s="113">
        <f>IF(SWW!D45=0,0.0001,SWW!D45)</f>
        <v>1E-4</v>
      </c>
      <c r="F9" s="37" t="s">
        <v>65</v>
      </c>
      <c r="AP9" s="29"/>
      <c r="AQ9" s="18"/>
      <c r="AR9" s="18"/>
      <c r="AS9" s="18"/>
      <c r="AT9" s="18"/>
      <c r="AU9" s="18"/>
      <c r="AV9" s="18"/>
      <c r="AW9" s="18"/>
      <c r="AX9" s="18"/>
      <c r="AY9" s="18"/>
      <c r="AZ9" s="18"/>
      <c r="BA9" s="18"/>
      <c r="BB9" s="18"/>
      <c r="BC9" s="18"/>
    </row>
    <row r="10" spans="1:55" x14ac:dyDescent="0.2">
      <c r="B10" s="172" t="s">
        <v>332</v>
      </c>
      <c r="C10" s="172"/>
      <c r="D10" s="172"/>
      <c r="E10" s="113">
        <v>50.78</v>
      </c>
      <c r="F10" s="37" t="s">
        <v>333</v>
      </c>
      <c r="G10">
        <f>RADIANS(E10)</f>
        <v>0.88627819416272058</v>
      </c>
      <c r="H10" s="37" t="s">
        <v>334</v>
      </c>
      <c r="K10" s="37" t="s">
        <v>335</v>
      </c>
      <c r="P10">
        <f>(30-22.5)/(45-22.5)*0.02</f>
        <v>6.6666666666666662E-3</v>
      </c>
      <c r="AP10" s="29"/>
      <c r="AQ10" s="29"/>
      <c r="AR10" s="29"/>
      <c r="AS10" s="29"/>
      <c r="AT10" s="29"/>
      <c r="AU10" s="29"/>
      <c r="AV10" s="29"/>
      <c r="AW10" s="29"/>
      <c r="AX10" s="29"/>
      <c r="AY10" s="18"/>
      <c r="AZ10" s="18"/>
      <c r="BA10" s="29"/>
      <c r="BB10" s="29"/>
      <c r="BC10" s="18"/>
    </row>
    <row r="11" spans="1:55" x14ac:dyDescent="0.2">
      <c r="B11" s="172" t="s">
        <v>336</v>
      </c>
      <c r="C11" s="172"/>
      <c r="D11" s="172"/>
      <c r="E11" s="183">
        <f>Gegevensinvoer!C46</f>
        <v>0</v>
      </c>
      <c r="F11" s="37" t="s">
        <v>337</v>
      </c>
      <c r="G11">
        <f>RADIANS(E11)</f>
        <v>0</v>
      </c>
      <c r="H11" s="37" t="s">
        <v>338</v>
      </c>
      <c r="K11" s="37" t="s">
        <v>339</v>
      </c>
      <c r="P11" s="37">
        <f>1.03+P10</f>
        <v>1.0366666666666666</v>
      </c>
      <c r="AP11" s="18"/>
      <c r="AQ11" s="29"/>
      <c r="AR11" s="18"/>
      <c r="AS11" s="18"/>
      <c r="AT11" s="18"/>
      <c r="AU11" s="18"/>
      <c r="AV11" s="18"/>
      <c r="AW11" s="18"/>
      <c r="AX11" s="18"/>
      <c r="AY11" s="18"/>
      <c r="AZ11" s="18"/>
      <c r="BA11" s="18"/>
      <c r="BB11" s="18"/>
      <c r="BC11" s="18"/>
    </row>
    <row r="12" spans="1:55" x14ac:dyDescent="0.2">
      <c r="B12" s="172" t="s">
        <v>340</v>
      </c>
      <c r="C12" s="172"/>
      <c r="D12" s="172"/>
      <c r="E12" s="183">
        <f>Gegevensinvoer!C45</f>
        <v>0</v>
      </c>
      <c r="F12" s="37" t="s">
        <v>337</v>
      </c>
      <c r="G12">
        <f>RADIANS(E12)</f>
        <v>0</v>
      </c>
      <c r="H12" s="37" t="s">
        <v>338</v>
      </c>
      <c r="K12" s="37" t="s">
        <v>341</v>
      </c>
      <c r="AP12" s="29"/>
      <c r="AQ12" s="280"/>
      <c r="AR12" s="62"/>
      <c r="AS12" s="195"/>
      <c r="AT12" s="18"/>
      <c r="AU12" s="18"/>
      <c r="AV12" s="62"/>
      <c r="AW12" s="18"/>
      <c r="AX12" s="196"/>
      <c r="AY12" s="281"/>
      <c r="AZ12" s="18"/>
      <c r="BA12" s="62"/>
      <c r="BB12" s="62"/>
      <c r="BC12" s="18"/>
    </row>
    <row r="13" spans="1:55" x14ac:dyDescent="0.2">
      <c r="B13" s="172" t="s">
        <v>342</v>
      </c>
      <c r="C13" s="172"/>
      <c r="D13" s="172"/>
      <c r="E13" s="113">
        <v>1.04</v>
      </c>
      <c r="F13" s="37"/>
      <c r="H13" s="37"/>
      <c r="K13" s="37" t="s">
        <v>343</v>
      </c>
      <c r="S13" s="17"/>
      <c r="T13" s="17"/>
      <c r="U13" s="17"/>
      <c r="V13" s="17"/>
      <c r="W13" s="17"/>
      <c r="X13" s="17"/>
      <c r="Y13" s="17"/>
      <c r="Z13" s="17"/>
      <c r="AA13" s="17"/>
      <c r="AB13" s="17"/>
      <c r="AC13" s="17"/>
      <c r="AD13" s="17"/>
      <c r="AP13" s="29"/>
      <c r="AQ13" s="280"/>
      <c r="AR13" s="18"/>
      <c r="AS13" s="195"/>
      <c r="AT13" s="18"/>
      <c r="AU13" s="18"/>
      <c r="AV13" s="62"/>
      <c r="AW13" s="18"/>
      <c r="AX13" s="196"/>
      <c r="AY13" s="281"/>
      <c r="AZ13" s="18"/>
      <c r="BA13" s="62"/>
      <c r="BB13" s="62"/>
      <c r="BC13" s="18"/>
    </row>
    <row r="14" spans="1:55" x14ac:dyDescent="0.2">
      <c r="B14" s="37" t="s">
        <v>344</v>
      </c>
      <c r="C14" s="37"/>
      <c r="D14" s="37"/>
      <c r="E14" s="173">
        <f>SWW!D41</f>
        <v>0.45</v>
      </c>
      <c r="K14" s="37" t="s">
        <v>345</v>
      </c>
      <c r="S14" s="17"/>
      <c r="T14" s="17"/>
      <c r="U14" s="17"/>
      <c r="V14" s="17"/>
      <c r="W14" s="17"/>
      <c r="X14" s="17"/>
      <c r="Y14" s="17"/>
      <c r="Z14" s="17"/>
      <c r="AA14" s="17"/>
      <c r="AB14" s="17"/>
      <c r="AC14" s="17"/>
      <c r="AD14" s="17"/>
      <c r="AF14" s="17"/>
      <c r="AP14" s="29"/>
      <c r="AQ14" s="280"/>
      <c r="AR14" s="18"/>
      <c r="AS14" s="195"/>
      <c r="AT14" s="18"/>
      <c r="AU14" s="18"/>
      <c r="AV14" s="62"/>
      <c r="AW14" s="18"/>
      <c r="AX14" s="196"/>
      <c r="AY14" s="281"/>
      <c r="AZ14" s="18"/>
      <c r="BA14" s="62"/>
      <c r="BB14" s="62"/>
      <c r="BC14" s="18"/>
    </row>
    <row r="15" spans="1:55" x14ac:dyDescent="0.2">
      <c r="C15" s="37"/>
      <c r="D15" s="37"/>
      <c r="E15" s="37" t="s">
        <v>3</v>
      </c>
      <c r="F15" s="37" t="s">
        <v>4</v>
      </c>
      <c r="G15" s="37" t="s">
        <v>147</v>
      </c>
      <c r="H15" s="37" t="s">
        <v>6</v>
      </c>
      <c r="I15" s="37" t="s">
        <v>7</v>
      </c>
      <c r="J15" s="37" t="s">
        <v>8</v>
      </c>
      <c r="K15" s="37" t="s">
        <v>9</v>
      </c>
      <c r="L15" s="37" t="s">
        <v>10</v>
      </c>
      <c r="M15" s="37" t="s">
        <v>11</v>
      </c>
      <c r="N15" s="37" t="s">
        <v>12</v>
      </c>
      <c r="O15" s="37" t="s">
        <v>346</v>
      </c>
      <c r="P15" s="37" t="s">
        <v>14</v>
      </c>
      <c r="Q15" s="37" t="s">
        <v>347</v>
      </c>
      <c r="S15" s="17"/>
      <c r="T15" s="17"/>
      <c r="U15" s="17"/>
      <c r="V15" s="17"/>
      <c r="W15" s="17"/>
      <c r="X15" s="17"/>
      <c r="Y15" s="17"/>
      <c r="Z15" s="17"/>
      <c r="AA15" s="17"/>
      <c r="AB15" s="17"/>
      <c r="AC15" s="17"/>
      <c r="AD15" s="17"/>
      <c r="AF15" s="17"/>
      <c r="AP15" s="29"/>
      <c r="AQ15" s="280"/>
      <c r="AR15" s="18"/>
      <c r="AS15" s="195"/>
      <c r="AT15" s="18"/>
      <c r="AU15" s="18"/>
      <c r="AV15" s="62"/>
      <c r="AW15" s="18"/>
      <c r="AX15" s="196"/>
      <c r="AY15" s="281"/>
      <c r="AZ15" s="18"/>
      <c r="BA15" s="62"/>
      <c r="BB15" s="62"/>
      <c r="BC15" s="18"/>
    </row>
    <row r="16" spans="1:55" x14ac:dyDescent="0.2">
      <c r="B16" s="37"/>
      <c r="C16" s="37"/>
      <c r="D16" s="37"/>
      <c r="E16" s="174"/>
      <c r="K16" s="37"/>
      <c r="AP16" s="29"/>
      <c r="AQ16" s="280"/>
      <c r="AR16" s="18"/>
      <c r="AS16" s="195"/>
      <c r="AT16" s="18"/>
      <c r="AU16" s="18"/>
      <c r="AV16" s="62"/>
      <c r="AW16" s="18"/>
      <c r="AX16" s="196"/>
      <c r="AY16" s="281"/>
      <c r="AZ16" s="18"/>
      <c r="BA16" s="62"/>
      <c r="BB16" s="62"/>
      <c r="BC16" s="18"/>
    </row>
    <row r="17" spans="2:148" x14ac:dyDescent="0.2">
      <c r="B17" s="175" t="s">
        <v>348</v>
      </c>
      <c r="C17" s="31"/>
      <c r="D17" s="31"/>
      <c r="E17" s="176">
        <f>(1*(1-E20)*E24)/$E14</f>
        <v>18932.656172915682</v>
      </c>
      <c r="F17" s="176">
        <f t="shared" ref="F17:P17" si="0">(1*(1-F20)*F24)/$E14</f>
        <v>18932.650109448696</v>
      </c>
      <c r="G17" s="176">
        <f t="shared" si="0"/>
        <v>18932.637161499122</v>
      </c>
      <c r="H17" s="176">
        <f t="shared" si="0"/>
        <v>18932.623447404749</v>
      </c>
      <c r="I17" s="176">
        <f t="shared" si="0"/>
        <v>18932.608355574204</v>
      </c>
      <c r="J17" s="176">
        <f t="shared" si="0"/>
        <v>18932.605945295283</v>
      </c>
      <c r="K17" s="176">
        <f t="shared" si="0"/>
        <v>18932.607470157491</v>
      </c>
      <c r="L17" s="176">
        <f t="shared" si="0"/>
        <v>18932.614188372729</v>
      </c>
      <c r="M17" s="176">
        <f t="shared" si="0"/>
        <v>18932.628433048896</v>
      </c>
      <c r="N17" s="176">
        <f t="shared" si="0"/>
        <v>18932.642791352679</v>
      </c>
      <c r="O17" s="176">
        <f t="shared" si="0"/>
        <v>18932.654193164635</v>
      </c>
      <c r="P17" s="176">
        <f t="shared" si="0"/>
        <v>18932.658001070955</v>
      </c>
      <c r="Q17" s="175">
        <f>SUM(E17:P17)</f>
        <v>227191.58626930515</v>
      </c>
      <c r="R17" s="31" t="s">
        <v>0</v>
      </c>
      <c r="S17" s="31"/>
      <c r="T17" s="31">
        <v>229465.9</v>
      </c>
      <c r="U17" s="31">
        <v>98773.0533534188</v>
      </c>
      <c r="V17" s="31" t="s">
        <v>0</v>
      </c>
      <c r="W17" s="31"/>
      <c r="X17" s="31"/>
      <c r="Y17" s="31"/>
      <c r="Z17" s="31"/>
      <c r="AA17" s="31"/>
      <c r="AB17" s="31"/>
      <c r="AC17" s="31"/>
      <c r="AD17" s="31"/>
      <c r="AE17" s="31"/>
      <c r="AF17" s="31"/>
      <c r="AG17" s="31"/>
      <c r="AH17" s="31"/>
      <c r="AI17" s="31"/>
      <c r="AJ17" s="31"/>
      <c r="AK17" s="31"/>
      <c r="AL17" s="31"/>
      <c r="AM17" s="31"/>
      <c r="AN17" s="31"/>
      <c r="AO17" s="31"/>
      <c r="AP17" s="29"/>
      <c r="AQ17" s="280"/>
      <c r="AR17" s="18"/>
      <c r="AS17" s="195"/>
      <c r="AT17" s="18"/>
      <c r="AU17" s="18"/>
      <c r="AV17" s="62"/>
      <c r="AW17" s="18"/>
      <c r="AX17" s="196"/>
      <c r="AY17" s="281"/>
      <c r="AZ17" s="18"/>
      <c r="BA17" s="62"/>
      <c r="BB17" s="62"/>
      <c r="BC17" s="75"/>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row>
    <row r="18" spans="2:148" x14ac:dyDescent="0.2">
      <c r="B18" s="175" t="s">
        <v>202</v>
      </c>
      <c r="C18" s="31"/>
      <c r="D18" s="31"/>
      <c r="E18" s="177"/>
      <c r="F18" s="31"/>
      <c r="G18" s="31"/>
      <c r="H18" s="31"/>
      <c r="I18" s="31"/>
      <c r="J18" s="31"/>
      <c r="K18" s="31"/>
      <c r="L18" s="31"/>
      <c r="M18" s="31"/>
      <c r="N18" s="31"/>
      <c r="O18" s="31"/>
      <c r="P18" s="31"/>
      <c r="Q18" s="175">
        <f>Q17*1</f>
        <v>227191.58626930515</v>
      </c>
      <c r="R18" s="31"/>
      <c r="S18" s="31"/>
      <c r="T18" s="31"/>
      <c r="V18" s="31"/>
      <c r="W18" s="31"/>
      <c r="X18" s="31"/>
      <c r="Y18" s="31"/>
      <c r="Z18" s="31"/>
      <c r="AA18" s="31"/>
      <c r="AB18" s="31"/>
      <c r="AC18" s="31"/>
      <c r="AD18" s="31"/>
      <c r="AE18" s="31"/>
      <c r="AF18" s="31"/>
      <c r="AG18" s="31"/>
      <c r="AH18" s="31"/>
      <c r="AI18" s="31"/>
      <c r="AJ18" s="31"/>
      <c r="AK18" s="31"/>
      <c r="AL18" s="31"/>
      <c r="AM18" s="31"/>
      <c r="AN18" s="31"/>
      <c r="AO18" s="31"/>
      <c r="AP18" s="29"/>
      <c r="AQ18" s="280"/>
      <c r="AR18" s="18"/>
      <c r="AS18" s="195"/>
      <c r="AT18" s="18"/>
      <c r="AU18" s="18"/>
      <c r="AV18" s="62"/>
      <c r="AW18" s="18"/>
      <c r="AX18" s="196"/>
      <c r="AY18" s="281"/>
      <c r="AZ18" s="18"/>
      <c r="BA18" s="62"/>
      <c r="BB18" s="62"/>
      <c r="BC18" s="75"/>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row>
    <row r="19" spans="2:148" x14ac:dyDescent="0.2">
      <c r="B19" s="37"/>
      <c r="C19" s="37"/>
      <c r="D19" s="37"/>
      <c r="E19" s="174"/>
      <c r="K19" s="37"/>
      <c r="AP19" s="29"/>
      <c r="AQ19" s="280"/>
      <c r="AR19" s="18"/>
      <c r="AS19" s="195"/>
      <c r="AT19" s="18"/>
      <c r="AU19" s="18"/>
      <c r="AV19" s="62"/>
      <c r="AW19" s="18"/>
      <c r="AX19" s="196"/>
      <c r="AY19" s="281"/>
      <c r="AZ19" s="18"/>
      <c r="BA19" s="62"/>
      <c r="BB19" s="62"/>
      <c r="BC19" s="18"/>
    </row>
    <row r="20" spans="2:148" x14ac:dyDescent="0.2">
      <c r="B20" s="37" t="s">
        <v>349</v>
      </c>
      <c r="C20" s="37"/>
      <c r="D20" s="37"/>
      <c r="E20" s="40">
        <f>MIN(1,E21*E23/E24)</f>
        <v>4.1366282259188363E-7</v>
      </c>
      <c r="F20" s="40">
        <f t="shared" ref="F20:P20" si="1">MIN(1,F21*F23/F24)</f>
        <v>7.3392768267340836E-7</v>
      </c>
      <c r="G20" s="40">
        <f t="shared" si="1"/>
        <v>1.417822435609045E-6</v>
      </c>
      <c r="H20" s="40">
        <f t="shared" si="1"/>
        <v>2.1421840135619368E-6</v>
      </c>
      <c r="I20" s="40">
        <f t="shared" si="1"/>
        <v>2.9393159194965487E-6</v>
      </c>
      <c r="J20" s="40">
        <f t="shared" si="1"/>
        <v>3.0666238844713491E-6</v>
      </c>
      <c r="K20" s="40">
        <f t="shared" si="1"/>
        <v>2.9860825402425575E-6</v>
      </c>
      <c r="L20" s="40">
        <f t="shared" si="1"/>
        <v>2.6312346838556935E-6</v>
      </c>
      <c r="M20" s="40">
        <f t="shared" si="1"/>
        <v>1.8788484288455782E-6</v>
      </c>
      <c r="N20" s="40">
        <f t="shared" si="1"/>
        <v>1.1204605031832051E-6</v>
      </c>
      <c r="O20" s="40">
        <f t="shared" si="1"/>
        <v>5.1823083508043267E-7</v>
      </c>
      <c r="P20" s="40">
        <f t="shared" si="1"/>
        <v>3.1710191234679668E-7</v>
      </c>
      <c r="AP20" s="29"/>
      <c r="AQ20" s="280"/>
      <c r="AR20" s="18"/>
      <c r="AS20" s="195"/>
      <c r="AT20" s="18"/>
      <c r="AU20" s="18"/>
      <c r="AV20" s="62"/>
      <c r="AW20" s="18"/>
      <c r="AX20" s="196"/>
      <c r="AY20" s="281"/>
      <c r="AZ20" s="18"/>
      <c r="BA20" s="62"/>
      <c r="BB20" s="62"/>
      <c r="BC20" s="18"/>
    </row>
    <row r="21" spans="2:148" x14ac:dyDescent="0.2">
      <c r="B21" s="37" t="s">
        <v>350</v>
      </c>
      <c r="C21" s="37"/>
      <c r="D21" s="37"/>
      <c r="E21">
        <f>MIN(MAX(0,(0.16+0.2*$Q24/$Q23)),0.8)</f>
        <v>0.8</v>
      </c>
      <c r="F21">
        <f t="shared" ref="F21:P21" si="2">MIN(MAX(0,(0.16+0.2*$Q24/$Q23)),0.8)</f>
        <v>0.8</v>
      </c>
      <c r="G21">
        <f t="shared" si="2"/>
        <v>0.8</v>
      </c>
      <c r="H21">
        <f t="shared" si="2"/>
        <v>0.8</v>
      </c>
      <c r="I21">
        <f t="shared" si="2"/>
        <v>0.8</v>
      </c>
      <c r="J21">
        <f t="shared" si="2"/>
        <v>0.8</v>
      </c>
      <c r="K21">
        <f t="shared" si="2"/>
        <v>0.8</v>
      </c>
      <c r="L21">
        <f t="shared" si="2"/>
        <v>0.8</v>
      </c>
      <c r="M21">
        <f t="shared" si="2"/>
        <v>0.8</v>
      </c>
      <c r="N21">
        <f t="shared" si="2"/>
        <v>0.8</v>
      </c>
      <c r="O21">
        <f t="shared" si="2"/>
        <v>0.8</v>
      </c>
      <c r="P21">
        <f t="shared" si="2"/>
        <v>0.8</v>
      </c>
      <c r="AP21" s="29"/>
      <c r="AQ21" s="280"/>
      <c r="AR21" s="18"/>
      <c r="AS21" s="195"/>
      <c r="AT21" s="18"/>
      <c r="AU21" s="18"/>
      <c r="AV21" s="62"/>
      <c r="AW21" s="18"/>
      <c r="AX21" s="196"/>
      <c r="AY21" s="281"/>
      <c r="AZ21" s="18"/>
      <c r="BA21" s="62"/>
      <c r="BB21" s="62"/>
      <c r="BC21" s="18"/>
    </row>
    <row r="22" spans="2:148" x14ac:dyDescent="0.2">
      <c r="B22" s="37" t="s">
        <v>109</v>
      </c>
      <c r="C22" s="37"/>
      <c r="D22" s="37"/>
      <c r="E22" s="37">
        <v>1</v>
      </c>
      <c r="F22" s="37">
        <v>2</v>
      </c>
      <c r="G22" s="37">
        <v>3</v>
      </c>
      <c r="H22" s="37">
        <v>4</v>
      </c>
      <c r="I22" s="37">
        <v>5</v>
      </c>
      <c r="J22" s="37">
        <v>6</v>
      </c>
      <c r="K22" s="37">
        <v>7</v>
      </c>
      <c r="L22" s="37">
        <v>8</v>
      </c>
      <c r="M22" s="37">
        <v>9</v>
      </c>
      <c r="N22" s="37">
        <v>10</v>
      </c>
      <c r="O22" s="37">
        <v>11</v>
      </c>
      <c r="P22" s="37">
        <v>12</v>
      </c>
      <c r="Q22" s="37"/>
      <c r="AP22" s="29"/>
      <c r="AQ22" s="280"/>
      <c r="AR22" s="18"/>
      <c r="AS22" s="195"/>
      <c r="AT22" s="18"/>
      <c r="AU22" s="18"/>
      <c r="AV22" s="62"/>
      <c r="AW22" s="18"/>
      <c r="AX22" s="196"/>
      <c r="AY22" s="281"/>
      <c r="AZ22" s="18"/>
      <c r="BA22" s="62"/>
      <c r="BB22" s="62"/>
      <c r="BC22" s="18"/>
    </row>
    <row r="23" spans="2:148" x14ac:dyDescent="0.2">
      <c r="B23" s="37" t="s">
        <v>351</v>
      </c>
      <c r="C23" s="37"/>
      <c r="D23" s="37"/>
      <c r="E23" s="40">
        <f>$E9*E25</f>
        <v>4.405353317633985E-3</v>
      </c>
      <c r="F23" s="40">
        <f t="shared" ref="F23:P23" si="3">$E9*F25</f>
        <v>7.8160534986209812E-3</v>
      </c>
      <c r="G23" s="40">
        <f t="shared" si="3"/>
        <v>1.5099275132801734E-2</v>
      </c>
      <c r="H23" s="40">
        <f t="shared" si="3"/>
        <v>2.2813453217762594E-2</v>
      </c>
      <c r="I23" s="40">
        <f t="shared" si="3"/>
        <v>3.1302607897890827E-2</v>
      </c>
      <c r="J23" s="40">
        <f t="shared" si="3"/>
        <v>3.265838979375698E-2</v>
      </c>
      <c r="K23" s="40">
        <f t="shared" si="3"/>
        <v>3.1800654801325559E-2</v>
      </c>
      <c r="L23" s="40">
        <f t="shared" si="3"/>
        <v>2.8021658730094261E-2</v>
      </c>
      <c r="M23" s="40">
        <f t="shared" si="3"/>
        <v>2.0009028385691505E-2</v>
      </c>
      <c r="N23" s="40">
        <f t="shared" si="3"/>
        <v>1.1932482508455487E-2</v>
      </c>
      <c r="O23" s="40">
        <f t="shared" si="3"/>
        <v>5.5189632810541296E-3</v>
      </c>
      <c r="P23" s="40">
        <f t="shared" si="3"/>
        <v>3.3770159784536824E-3</v>
      </c>
      <c r="Q23" s="40">
        <f>SUM(E23:P23)</f>
        <v>0.21475493654354177</v>
      </c>
      <c r="R23" s="37" t="s">
        <v>352</v>
      </c>
      <c r="AP23" s="29"/>
      <c r="AQ23" s="280"/>
      <c r="AR23" s="18"/>
      <c r="AS23" s="195"/>
      <c r="AT23" s="18"/>
      <c r="AU23" s="18"/>
      <c r="AV23" s="62"/>
      <c r="AW23" s="18"/>
      <c r="AX23" s="196"/>
      <c r="AY23" s="281"/>
      <c r="AZ23" s="18"/>
      <c r="BA23" s="62"/>
      <c r="BB23" s="62"/>
      <c r="BC23" s="18"/>
    </row>
    <row r="24" spans="2:148" x14ac:dyDescent="0.2">
      <c r="B24" s="178" t="s">
        <v>353</v>
      </c>
      <c r="C24" s="37"/>
      <c r="D24" s="37"/>
      <c r="E24" s="40">
        <f>SWW!D39/12</f>
        <v>8519.6988020947119</v>
      </c>
      <c r="F24" s="40">
        <f>E24</f>
        <v>8519.6988020947119</v>
      </c>
      <c r="G24" s="40">
        <f>F24</f>
        <v>8519.6988020947119</v>
      </c>
      <c r="H24" s="40">
        <f>G24</f>
        <v>8519.6988020947119</v>
      </c>
      <c r="I24" s="40">
        <f t="shared" ref="I24:P24" si="4">H24</f>
        <v>8519.6988020947119</v>
      </c>
      <c r="J24" s="40">
        <f t="shared" si="4"/>
        <v>8519.6988020947119</v>
      </c>
      <c r="K24" s="40">
        <f t="shared" si="4"/>
        <v>8519.6988020947119</v>
      </c>
      <c r="L24" s="40">
        <f t="shared" si="4"/>
        <v>8519.6988020947119</v>
      </c>
      <c r="M24" s="40">
        <f t="shared" si="4"/>
        <v>8519.6988020947119</v>
      </c>
      <c r="N24" s="40">
        <f t="shared" si="4"/>
        <v>8519.6988020947119</v>
      </c>
      <c r="O24" s="40">
        <f t="shared" si="4"/>
        <v>8519.6988020947119</v>
      </c>
      <c r="P24" s="40">
        <f t="shared" si="4"/>
        <v>8519.6988020947119</v>
      </c>
      <c r="Q24" s="40">
        <f>SUM(E24:P24)</f>
        <v>102236.38562513657</v>
      </c>
      <c r="R24" s="30" t="s">
        <v>352</v>
      </c>
      <c r="S24" s="37" t="s">
        <v>354</v>
      </c>
      <c r="AP24" s="18"/>
      <c r="AQ24" s="18"/>
      <c r="AR24" s="18"/>
      <c r="AS24" s="18"/>
      <c r="AT24" s="18"/>
      <c r="AU24" s="18"/>
      <c r="AV24" s="18"/>
      <c r="AW24" s="18"/>
      <c r="AX24" s="18"/>
      <c r="AY24" s="282"/>
      <c r="AZ24" s="18"/>
      <c r="BA24" s="62"/>
      <c r="BB24" s="62"/>
      <c r="BC24" s="18"/>
    </row>
    <row r="25" spans="2:148" x14ac:dyDescent="0.2">
      <c r="B25" s="37" t="s">
        <v>355</v>
      </c>
      <c r="C25" s="37"/>
      <c r="D25" s="37"/>
      <c r="E25" s="40">
        <f>0.6*E26</f>
        <v>44.053533176339847</v>
      </c>
      <c r="F25" s="40">
        <f t="shared" ref="F25:P25" si="5">0.6*F26</f>
        <v>78.160534986209811</v>
      </c>
      <c r="G25" s="40">
        <f t="shared" si="5"/>
        <v>150.99275132801733</v>
      </c>
      <c r="H25" s="40">
        <f t="shared" si="5"/>
        <v>228.13453217762591</v>
      </c>
      <c r="I25" s="40">
        <f t="shared" si="5"/>
        <v>313.02607897890829</v>
      </c>
      <c r="J25" s="40">
        <f t="shared" si="5"/>
        <v>326.58389793756976</v>
      </c>
      <c r="K25" s="40">
        <f t="shared" si="5"/>
        <v>318.00654801325555</v>
      </c>
      <c r="L25" s="40">
        <f t="shared" si="5"/>
        <v>280.21658730094259</v>
      </c>
      <c r="M25" s="40">
        <f t="shared" si="5"/>
        <v>200.09028385691505</v>
      </c>
      <c r="N25" s="40">
        <f t="shared" si="5"/>
        <v>119.32482508455486</v>
      </c>
      <c r="O25" s="40">
        <f t="shared" si="5"/>
        <v>55.189632810541291</v>
      </c>
      <c r="P25" s="40">
        <f t="shared" si="5"/>
        <v>33.770159784536823</v>
      </c>
      <c r="AP25" s="18"/>
      <c r="AQ25" s="18"/>
      <c r="AR25" s="18"/>
      <c r="AS25" s="18"/>
      <c r="AT25" s="18"/>
      <c r="AU25" s="18"/>
      <c r="AV25" s="18"/>
      <c r="AW25" s="18"/>
      <c r="AX25" s="18"/>
      <c r="AY25" s="282"/>
      <c r="AZ25" s="18"/>
      <c r="BA25" s="62"/>
      <c r="BB25" s="62"/>
      <c r="BC25" s="18"/>
    </row>
    <row r="26" spans="2:148" x14ac:dyDescent="0.2">
      <c r="B26" s="37" t="s">
        <v>356</v>
      </c>
      <c r="C26" s="37"/>
      <c r="D26" s="37"/>
      <c r="E26" s="40">
        <f>SUM(E28:E30)</f>
        <v>73.422555293899748</v>
      </c>
      <c r="F26" s="40">
        <f t="shared" ref="F26:P26" si="6">SUM(F28:F30)</f>
        <v>130.2675583103497</v>
      </c>
      <c r="G26" s="40">
        <f t="shared" si="6"/>
        <v>251.65458554669556</v>
      </c>
      <c r="H26" s="40">
        <f t="shared" si="6"/>
        <v>380.2242202960432</v>
      </c>
      <c r="I26" s="40">
        <f t="shared" si="6"/>
        <v>521.71013163151383</v>
      </c>
      <c r="J26" s="40">
        <f t="shared" si="6"/>
        <v>544.3064965626163</v>
      </c>
      <c r="K26" s="40">
        <f t="shared" si="6"/>
        <v>530.01091335542594</v>
      </c>
      <c r="L26" s="40">
        <f t="shared" si="6"/>
        <v>467.02764550157099</v>
      </c>
      <c r="M26" s="40">
        <f t="shared" si="6"/>
        <v>333.48380642819177</v>
      </c>
      <c r="N26" s="40">
        <f t="shared" si="6"/>
        <v>198.87470847425811</v>
      </c>
      <c r="O26" s="40">
        <f t="shared" si="6"/>
        <v>91.982721350902153</v>
      </c>
      <c r="P26" s="40">
        <f t="shared" si="6"/>
        <v>56.283599640894707</v>
      </c>
      <c r="AP26" s="18"/>
      <c r="AQ26" s="18"/>
      <c r="AR26" s="18"/>
      <c r="AS26" s="18"/>
      <c r="AT26" s="18"/>
      <c r="AU26" s="18"/>
      <c r="AV26" s="18"/>
      <c r="AW26" s="18"/>
      <c r="AX26" s="18"/>
      <c r="AY26" s="18"/>
      <c r="AZ26" s="18"/>
      <c r="BA26" s="18"/>
      <c r="BB26" s="18"/>
      <c r="BC26" s="18"/>
    </row>
    <row r="27" spans="2:148" x14ac:dyDescent="0.2">
      <c r="AP27" s="18"/>
      <c r="AQ27" s="18"/>
      <c r="AR27" s="18"/>
      <c r="AS27" s="18"/>
      <c r="AT27" s="18"/>
      <c r="AU27" s="18"/>
      <c r="AV27" s="18"/>
      <c r="AW27" s="18"/>
      <c r="AX27" s="18"/>
      <c r="AY27" s="18"/>
      <c r="AZ27" s="18"/>
      <c r="BA27" s="18"/>
      <c r="BB27" s="18"/>
      <c r="BC27" s="18"/>
    </row>
    <row r="28" spans="2:148" x14ac:dyDescent="0.2">
      <c r="B28" s="37" t="s">
        <v>357</v>
      </c>
      <c r="C28" s="37"/>
      <c r="D28" s="37"/>
      <c r="E28" s="40">
        <f>(E31-E32)*E33/E34</f>
        <v>20.070555293899751</v>
      </c>
      <c r="F28" s="40">
        <f t="shared" ref="F28:P28" si="7">(F31-F32)*F33/F34</f>
        <v>44.259558310349682</v>
      </c>
      <c r="G28" s="40">
        <f t="shared" si="7"/>
        <v>90.350585546695555</v>
      </c>
      <c r="H28" s="40">
        <f t="shared" si="7"/>
        <v>152.25622029604318</v>
      </c>
      <c r="I28" s="40">
        <f t="shared" si="7"/>
        <v>216.47013163151377</v>
      </c>
      <c r="J28" s="40">
        <f t="shared" si="7"/>
        <v>234.2824965626163</v>
      </c>
      <c r="K28" s="40">
        <f t="shared" si="7"/>
        <v>211.97891335542593</v>
      </c>
      <c r="L28" s="40">
        <f t="shared" si="7"/>
        <v>189.65964550157096</v>
      </c>
      <c r="M28" s="40">
        <f t="shared" si="7"/>
        <v>142.53980642819181</v>
      </c>
      <c r="N28" s="40">
        <f t="shared" si="7"/>
        <v>75.842708474258117</v>
      </c>
      <c r="O28" s="40">
        <f t="shared" si="7"/>
        <v>29.062721350902155</v>
      </c>
      <c r="P28" s="40">
        <f t="shared" si="7"/>
        <v>14.4755996408947</v>
      </c>
      <c r="AP28" s="18"/>
      <c r="AQ28" s="18"/>
      <c r="AR28" s="18"/>
      <c r="AS28" s="18"/>
      <c r="AT28" s="18"/>
      <c r="AU28" s="18"/>
      <c r="AV28" s="18"/>
      <c r="AW28" s="18"/>
      <c r="AX28" s="18"/>
      <c r="AY28" s="18"/>
      <c r="AZ28" s="18"/>
      <c r="BA28" s="18"/>
      <c r="BB28" s="18"/>
      <c r="BC28" s="18"/>
    </row>
    <row r="29" spans="2:148" x14ac:dyDescent="0.2">
      <c r="B29" s="37" t="s">
        <v>358</v>
      </c>
      <c r="C29" s="37"/>
      <c r="D29" s="37"/>
      <c r="E29" s="40">
        <f>E32*$E13*((1+COS($G11))/2)</f>
        <v>53.351999999999997</v>
      </c>
      <c r="F29" s="40">
        <f t="shared" ref="F29:P29" si="8">F32*$E13*((1+COS($G11))/2)</f>
        <v>86.00800000000001</v>
      </c>
      <c r="G29" s="40">
        <f t="shared" si="8"/>
        <v>161.304</v>
      </c>
      <c r="H29" s="40">
        <f t="shared" si="8"/>
        <v>227.96799999999999</v>
      </c>
      <c r="I29" s="40">
        <f t="shared" si="8"/>
        <v>305.24</v>
      </c>
      <c r="J29" s="40">
        <f t="shared" si="8"/>
        <v>310.02400000000006</v>
      </c>
      <c r="K29" s="40">
        <f t="shared" si="8"/>
        <v>318.03200000000004</v>
      </c>
      <c r="L29" s="40">
        <f t="shared" si="8"/>
        <v>277.36799999999999</v>
      </c>
      <c r="M29" s="40">
        <f t="shared" si="8"/>
        <v>190.94399999999999</v>
      </c>
      <c r="N29" s="40">
        <f t="shared" si="8"/>
        <v>123.032</v>
      </c>
      <c r="O29" s="40">
        <f t="shared" si="8"/>
        <v>62.92</v>
      </c>
      <c r="P29" s="40">
        <f t="shared" si="8"/>
        <v>41.808000000000007</v>
      </c>
    </row>
    <row r="30" spans="2:148" x14ac:dyDescent="0.2">
      <c r="B30" s="37" t="s">
        <v>359</v>
      </c>
      <c r="C30" s="37"/>
      <c r="D30" s="37"/>
      <c r="E30" s="40">
        <f>0.2*E31*((1-COS($G11))/2)</f>
        <v>0</v>
      </c>
      <c r="F30" s="40">
        <f t="shared" ref="F30:P30" si="9">0.2*F31*((1-COS($G11))/2)</f>
        <v>0</v>
      </c>
      <c r="G30" s="40">
        <f t="shared" si="9"/>
        <v>0</v>
      </c>
      <c r="H30" s="40">
        <f t="shared" si="9"/>
        <v>0</v>
      </c>
      <c r="I30" s="40">
        <f t="shared" si="9"/>
        <v>0</v>
      </c>
      <c r="J30" s="40">
        <f t="shared" si="9"/>
        <v>0</v>
      </c>
      <c r="K30" s="40">
        <f t="shared" si="9"/>
        <v>0</v>
      </c>
      <c r="L30" s="40">
        <f t="shared" si="9"/>
        <v>0</v>
      </c>
      <c r="M30" s="40">
        <f t="shared" si="9"/>
        <v>0</v>
      </c>
      <c r="N30" s="40">
        <f t="shared" si="9"/>
        <v>0</v>
      </c>
      <c r="O30" s="40">
        <f t="shared" si="9"/>
        <v>0</v>
      </c>
      <c r="P30" s="40">
        <f t="shared" si="9"/>
        <v>0</v>
      </c>
    </row>
    <row r="31" spans="2:148" x14ac:dyDescent="0.2">
      <c r="B31" s="37" t="s">
        <v>360</v>
      </c>
      <c r="C31" s="37"/>
      <c r="D31" s="37"/>
      <c r="E31">
        <v>71.400000000000006</v>
      </c>
      <c r="F31">
        <v>127</v>
      </c>
      <c r="G31">
        <v>245.5</v>
      </c>
      <c r="H31">
        <v>371.5</v>
      </c>
      <c r="I31">
        <v>510</v>
      </c>
      <c r="J31">
        <v>532.4</v>
      </c>
      <c r="K31">
        <v>517.79999999999995</v>
      </c>
      <c r="L31">
        <v>456.4</v>
      </c>
      <c r="M31">
        <v>326.2</v>
      </c>
      <c r="N31">
        <v>194.2</v>
      </c>
      <c r="O31">
        <v>89.6</v>
      </c>
      <c r="P31">
        <v>54.7</v>
      </c>
    </row>
    <row r="32" spans="2:148" x14ac:dyDescent="0.2">
      <c r="B32" s="37" t="s">
        <v>361</v>
      </c>
      <c r="C32" s="37"/>
      <c r="D32" s="37"/>
      <c r="E32">
        <v>51.3</v>
      </c>
      <c r="F32">
        <v>82.7</v>
      </c>
      <c r="G32">
        <v>155.1</v>
      </c>
      <c r="H32">
        <v>219.2</v>
      </c>
      <c r="I32">
        <v>293.5</v>
      </c>
      <c r="J32">
        <v>298.10000000000002</v>
      </c>
      <c r="K32">
        <v>305.8</v>
      </c>
      <c r="L32">
        <v>266.7</v>
      </c>
      <c r="M32">
        <v>183.6</v>
      </c>
      <c r="N32">
        <v>118.3</v>
      </c>
      <c r="O32">
        <v>60.5</v>
      </c>
      <c r="P32">
        <v>40.200000000000003</v>
      </c>
    </row>
    <row r="33" spans="2:148" x14ac:dyDescent="0.2">
      <c r="B33" s="37" t="s">
        <v>362</v>
      </c>
      <c r="C33" s="37"/>
      <c r="D33" s="37"/>
      <c r="E33">
        <f>240*SUM(DU40:DU63)</f>
        <v>3397278.8770056958</v>
      </c>
      <c r="F33">
        <f t="shared" ref="F33:P33" si="10">240*SUM(DV40:DV63)</f>
        <v>6602955.3949172143</v>
      </c>
      <c r="G33">
        <f t="shared" si="10"/>
        <v>11414740.47470261</v>
      </c>
      <c r="H33">
        <f t="shared" si="10"/>
        <v>17431643.886049625</v>
      </c>
      <c r="I33">
        <f t="shared" si="10"/>
        <v>22123818.523429152</v>
      </c>
      <c r="J33">
        <f t="shared" si="10"/>
        <v>24428343.95262501</v>
      </c>
      <c r="K33">
        <f t="shared" si="10"/>
        <v>23534796.16265896</v>
      </c>
      <c r="L33">
        <f t="shared" si="10"/>
        <v>19643750.911568765</v>
      </c>
      <c r="M33">
        <f t="shared" si="10"/>
        <v>13933146.058276109</v>
      </c>
      <c r="N33">
        <f t="shared" si="10"/>
        <v>8312797.2246478153</v>
      </c>
      <c r="O33">
        <f t="shared" si="10"/>
        <v>4240274.7017632024</v>
      </c>
      <c r="P33">
        <f t="shared" si="10"/>
        <v>2713946.5698134894</v>
      </c>
    </row>
    <row r="34" spans="2:148" x14ac:dyDescent="0.2">
      <c r="B34" s="37" t="s">
        <v>363</v>
      </c>
      <c r="C34" s="37"/>
      <c r="D34" s="37"/>
      <c r="E34">
        <f>240*SUM(EG40:EG63)</f>
        <v>3402262.8884896454</v>
      </c>
      <c r="F34">
        <f t="shared" ref="F34:P34" si="11">240*SUM(EH40:EH63)</f>
        <v>6608988.7735375715</v>
      </c>
      <c r="G34">
        <f t="shared" si="11"/>
        <v>11420983.413326157</v>
      </c>
      <c r="H34">
        <f t="shared" si="11"/>
        <v>17436656.175250869</v>
      </c>
      <c r="I34">
        <f t="shared" si="11"/>
        <v>22126871.149484303</v>
      </c>
      <c r="J34">
        <f t="shared" si="11"/>
        <v>24430169.014228135</v>
      </c>
      <c r="K34">
        <f t="shared" si="11"/>
        <v>23537137.291188907</v>
      </c>
      <c r="L34">
        <f t="shared" si="11"/>
        <v>19647930.576215953</v>
      </c>
      <c r="M34">
        <f t="shared" si="11"/>
        <v>13939029.929236712</v>
      </c>
      <c r="N34">
        <f t="shared" si="11"/>
        <v>8319076.7055071332</v>
      </c>
      <c r="O34">
        <f t="shared" si="11"/>
        <v>4245713.6870108992</v>
      </c>
      <c r="P34">
        <f t="shared" si="11"/>
        <v>2718521.2522127572</v>
      </c>
    </row>
    <row r="35" spans="2:148" x14ac:dyDescent="0.2">
      <c r="B35" s="37" t="s">
        <v>364</v>
      </c>
      <c r="C35" s="37"/>
      <c r="D35" s="37"/>
      <c r="E35">
        <v>15</v>
      </c>
      <c r="F35">
        <v>46</v>
      </c>
      <c r="G35">
        <v>74</v>
      </c>
      <c r="H35">
        <v>105</v>
      </c>
      <c r="I35">
        <v>135</v>
      </c>
      <c r="J35">
        <v>166</v>
      </c>
      <c r="K35">
        <v>196</v>
      </c>
      <c r="L35">
        <v>227</v>
      </c>
      <c r="M35">
        <v>258</v>
      </c>
      <c r="N35">
        <v>288</v>
      </c>
      <c r="O35">
        <v>319</v>
      </c>
      <c r="P35">
        <v>349</v>
      </c>
    </row>
    <row r="36" spans="2:148" x14ac:dyDescent="0.2">
      <c r="B36" s="172" t="s">
        <v>365</v>
      </c>
      <c r="C36" s="37"/>
      <c r="D36" s="37"/>
      <c r="E36">
        <f>ASIN(-SIN(RADIANS(23.45))*COS(RADIANS((360/365)*(E35+10))))</f>
        <v>-0.37005073688784701</v>
      </c>
      <c r="F36">
        <f t="shared" ref="F36:P36" si="12">ASIN(-SIN(RADIANS(23.45))*COS(RADIANS((360/365)*(F35+10))))</f>
        <v>-0.22892134387298937</v>
      </c>
      <c r="G36">
        <f t="shared" si="12"/>
        <v>-4.9556634225255448E-2</v>
      </c>
      <c r="H36">
        <f t="shared" si="12"/>
        <v>0.15886906879832446</v>
      </c>
      <c r="I36">
        <f t="shared" si="12"/>
        <v>0.32348545251429023</v>
      </c>
      <c r="J36">
        <f t="shared" si="12"/>
        <v>0.40656872247812187</v>
      </c>
      <c r="K36">
        <f t="shared" si="12"/>
        <v>0.37452295501299532</v>
      </c>
      <c r="L36">
        <f t="shared" si="12"/>
        <v>0.2375186655265471</v>
      </c>
      <c r="M36">
        <f t="shared" si="12"/>
        <v>3.933548200468278E-2</v>
      </c>
      <c r="N36">
        <f t="shared" si="12"/>
        <v>-0.16204688654758234</v>
      </c>
      <c r="O36">
        <f t="shared" si="12"/>
        <v>-0.32990011224530297</v>
      </c>
      <c r="P36">
        <f t="shared" si="12"/>
        <v>-0.40696919966946188</v>
      </c>
    </row>
    <row r="37" spans="2:148" x14ac:dyDescent="0.2">
      <c r="B37" s="37"/>
      <c r="C37" s="37"/>
      <c r="D37" s="37"/>
    </row>
    <row r="38" spans="2:148" x14ac:dyDescent="0.2">
      <c r="DS38" s="37"/>
    </row>
    <row r="39" spans="2:148" x14ac:dyDescent="0.2">
      <c r="B39" s="37" t="s">
        <v>366</v>
      </c>
      <c r="C39" s="37" t="s">
        <v>367</v>
      </c>
      <c r="D39" s="37" t="s">
        <v>368</v>
      </c>
      <c r="E39" s="37" t="s">
        <v>369</v>
      </c>
      <c r="Q39" s="37" t="s">
        <v>370</v>
      </c>
      <c r="AC39" s="37" t="s">
        <v>371</v>
      </c>
      <c r="AO39" s="37" t="s">
        <v>372</v>
      </c>
      <c r="BA39" s="37" t="s">
        <v>373</v>
      </c>
      <c r="BM39" s="37" t="s">
        <v>374</v>
      </c>
      <c r="BY39" s="37" t="s">
        <v>374</v>
      </c>
      <c r="CK39" s="37" t="s">
        <v>375</v>
      </c>
      <c r="CW39" s="37" t="s">
        <v>376</v>
      </c>
      <c r="CX39" s="37"/>
      <c r="CY39" s="37"/>
      <c r="CZ39" s="37"/>
      <c r="DA39" s="37"/>
      <c r="DB39" s="37"/>
      <c r="DC39" s="37"/>
      <c r="DD39" s="37"/>
      <c r="DE39" s="37"/>
      <c r="DF39" s="37"/>
      <c r="DG39" s="37"/>
      <c r="DH39" s="37"/>
      <c r="DI39" s="37" t="s">
        <v>377</v>
      </c>
      <c r="DJ39" s="37"/>
      <c r="DK39" s="37"/>
      <c r="DL39" s="37"/>
      <c r="DM39" s="37"/>
      <c r="DN39" s="37"/>
      <c r="DO39" s="37"/>
      <c r="DP39" s="37"/>
      <c r="DQ39" s="37"/>
      <c r="DR39" s="37"/>
      <c r="DS39" s="37"/>
      <c r="DT39" s="37"/>
      <c r="DU39" s="37" t="s">
        <v>378</v>
      </c>
      <c r="DV39" s="172"/>
      <c r="EG39" s="37" t="s">
        <v>379</v>
      </c>
    </row>
    <row r="40" spans="2:148" x14ac:dyDescent="0.2">
      <c r="B40" s="179">
        <v>0</v>
      </c>
      <c r="C40">
        <v>180</v>
      </c>
      <c r="D40">
        <f>RADIANS(C40)</f>
        <v>3.1415926535897931</v>
      </c>
      <c r="E40">
        <f t="shared" ref="E40:P55" si="13">MAX(0,90-DEGREES(ACOS(COS($G$10)*COS(E$36)*COS($D40)+SIN($G$10)*SIN(E$36))))</f>
        <v>0</v>
      </c>
      <c r="F40">
        <f t="shared" si="13"/>
        <v>0</v>
      </c>
      <c r="G40">
        <f t="shared" si="13"/>
        <v>0</v>
      </c>
      <c r="H40">
        <f t="shared" si="13"/>
        <v>0</v>
      </c>
      <c r="I40">
        <f t="shared" si="13"/>
        <v>0</v>
      </c>
      <c r="J40">
        <f t="shared" si="13"/>
        <v>0</v>
      </c>
      <c r="K40">
        <f t="shared" si="13"/>
        <v>0</v>
      </c>
      <c r="L40">
        <f t="shared" si="13"/>
        <v>0</v>
      </c>
      <c r="M40">
        <f t="shared" si="13"/>
        <v>0</v>
      </c>
      <c r="N40">
        <f t="shared" si="13"/>
        <v>0</v>
      </c>
      <c r="O40">
        <f t="shared" si="13"/>
        <v>0</v>
      </c>
      <c r="P40">
        <f t="shared" si="13"/>
        <v>0</v>
      </c>
      <c r="Q40">
        <f t="shared" ref="Q40:AB61" si="14">3.372+0.053*(PI()*E40/180)-0.296*COS(RADIANS(30*E$22))</f>
        <v>3.1156564804798061</v>
      </c>
      <c r="R40">
        <f t="shared" si="14"/>
        <v>3.2239999999999998</v>
      </c>
      <c r="S40">
        <f t="shared" si="14"/>
        <v>3.3719999999999999</v>
      </c>
      <c r="T40">
        <f t="shared" si="14"/>
        <v>3.52</v>
      </c>
      <c r="U40">
        <f t="shared" si="14"/>
        <v>3.6283435195201936</v>
      </c>
      <c r="V40">
        <f t="shared" si="14"/>
        <v>3.6679999999999997</v>
      </c>
      <c r="W40">
        <f t="shared" si="14"/>
        <v>3.6283435195201936</v>
      </c>
      <c r="X40">
        <f t="shared" si="14"/>
        <v>3.52</v>
      </c>
      <c r="Y40">
        <f t="shared" si="14"/>
        <v>3.3719999999999999</v>
      </c>
      <c r="Z40">
        <f t="shared" si="14"/>
        <v>3.2239999999999998</v>
      </c>
      <c r="AA40">
        <f t="shared" si="14"/>
        <v>3.1156564804798061</v>
      </c>
      <c r="AB40">
        <f t="shared" si="14"/>
        <v>3.0760000000000001</v>
      </c>
      <c r="AC40">
        <f t="shared" ref="AC40:AN61" si="15">1.4899-2.1099*COS(RADIANS(E40))+0.6322*COS(RADIANS(2*E40))+0.0253*COS(RADIANS(3*E40))-1.0022*SIN(RADIANS(E40))+1.0077*SIN(RADIANS(2*E40))-0.2606*SIN(RADIANS(3*E40))</f>
        <v>3.7499999999999881E-2</v>
      </c>
      <c r="AD40">
        <f t="shared" si="15"/>
        <v>3.7499999999999881E-2</v>
      </c>
      <c r="AE40">
        <f t="shared" si="15"/>
        <v>3.7499999999999881E-2</v>
      </c>
      <c r="AF40">
        <f t="shared" si="15"/>
        <v>3.7499999999999881E-2</v>
      </c>
      <c r="AG40">
        <f t="shared" si="15"/>
        <v>3.7499999999999881E-2</v>
      </c>
      <c r="AH40">
        <f t="shared" si="15"/>
        <v>3.7499999999999881E-2</v>
      </c>
      <c r="AI40">
        <f t="shared" si="15"/>
        <v>3.7499999999999881E-2</v>
      </c>
      <c r="AJ40">
        <f t="shared" si="15"/>
        <v>3.7499999999999881E-2</v>
      </c>
      <c r="AK40">
        <f t="shared" si="15"/>
        <v>3.7499999999999881E-2</v>
      </c>
      <c r="AL40">
        <f t="shared" si="15"/>
        <v>3.7499999999999881E-2</v>
      </c>
      <c r="AM40">
        <f t="shared" si="15"/>
        <v>3.7499999999999881E-2</v>
      </c>
      <c r="AN40">
        <f t="shared" si="15"/>
        <v>3.7499999999999881E-2</v>
      </c>
      <c r="AO40">
        <f t="shared" ref="AO40:AZ61" si="16">0.992/(SIN(RADIANS(E40))+0.15*(PI()*E40/180+3.885)^(-1.253))</f>
        <v>36.218241904286437</v>
      </c>
      <c r="AP40">
        <f t="shared" si="16"/>
        <v>36.218241904286437</v>
      </c>
      <c r="AQ40">
        <f t="shared" si="16"/>
        <v>36.218241904286437</v>
      </c>
      <c r="AR40">
        <f t="shared" si="16"/>
        <v>36.218241904286437</v>
      </c>
      <c r="AS40">
        <f t="shared" si="16"/>
        <v>36.218241904286437</v>
      </c>
      <c r="AT40">
        <f t="shared" si="16"/>
        <v>36.218241904286437</v>
      </c>
      <c r="AU40">
        <f t="shared" si="16"/>
        <v>36.218241904286437</v>
      </c>
      <c r="AV40">
        <f t="shared" si="16"/>
        <v>36.218241904286437</v>
      </c>
      <c r="AW40">
        <f t="shared" si="16"/>
        <v>36.218241904286437</v>
      </c>
      <c r="AX40">
        <f t="shared" si="16"/>
        <v>36.218241904286437</v>
      </c>
      <c r="AY40">
        <f t="shared" si="16"/>
        <v>36.218241904286437</v>
      </c>
      <c r="AZ40">
        <f t="shared" si="16"/>
        <v>36.218241904286437</v>
      </c>
      <c r="BA40">
        <f t="shared" ref="BA40:BL61" si="17">0.775*(SIN(E$36)*COS($G$11)+COS(E$36)*SIN($G$11)*COS($G$12)*COS($D40))-0.632*(SIN(E$36)*SIN($G$11)*COS($G$12)-COS(E$36)*COS($G$11)*COS($D40))+COS(E$36)*SIN($G$11)*SIN($G$12)*SIN($D40)</f>
        <v>-0.86950790574569981</v>
      </c>
      <c r="BB40">
        <f t="shared" si="17"/>
        <v>-0.79138075175546052</v>
      </c>
      <c r="BC40">
        <f t="shared" si="17"/>
        <v>-0.66961478038591205</v>
      </c>
      <c r="BD40">
        <f t="shared" si="17"/>
        <v>-0.50143486192487119</v>
      </c>
      <c r="BE40">
        <f t="shared" si="17"/>
        <v>-0.35286851495122817</v>
      </c>
      <c r="BF40">
        <f t="shared" si="17"/>
        <v>-0.27399978643849621</v>
      </c>
      <c r="BG40">
        <f t="shared" si="17"/>
        <v>-0.30467401861644305</v>
      </c>
      <c r="BH40">
        <f t="shared" si="17"/>
        <v>-0.43190542182112451</v>
      </c>
      <c r="BI40">
        <f t="shared" si="17"/>
        <v>-0.60103398482543069</v>
      </c>
      <c r="BJ40">
        <f t="shared" si="17"/>
        <v>-0.74875766262706278</v>
      </c>
      <c r="BK40">
        <f t="shared" si="17"/>
        <v>-0.84897932442721524</v>
      </c>
      <c r="BL40">
        <f t="shared" si="17"/>
        <v>-0.88714783509171824</v>
      </c>
      <c r="BM40" s="180">
        <f t="shared" ref="BM40:BX61" si="18">COS(RADIANS(90-E40))</f>
        <v>6.1257422745431001E-17</v>
      </c>
      <c r="BN40" s="180">
        <f t="shared" si="18"/>
        <v>6.1257422745431001E-17</v>
      </c>
      <c r="BO40" s="180">
        <f t="shared" si="18"/>
        <v>6.1257422745431001E-17</v>
      </c>
      <c r="BP40" s="180">
        <f t="shared" si="18"/>
        <v>6.1257422745431001E-17</v>
      </c>
      <c r="BQ40" s="180">
        <f t="shared" si="18"/>
        <v>6.1257422745431001E-17</v>
      </c>
      <c r="BR40" s="180">
        <f t="shared" si="18"/>
        <v>6.1257422745431001E-17</v>
      </c>
      <c r="BS40" s="180">
        <f t="shared" si="18"/>
        <v>6.1257422745431001E-17</v>
      </c>
      <c r="BT40" s="180">
        <f t="shared" si="18"/>
        <v>6.1257422745431001E-17</v>
      </c>
      <c r="BU40" s="180">
        <f t="shared" si="18"/>
        <v>6.1257422745431001E-17</v>
      </c>
      <c r="BV40" s="180">
        <f t="shared" si="18"/>
        <v>6.1257422745431001E-17</v>
      </c>
      <c r="BW40" s="180">
        <f t="shared" si="18"/>
        <v>6.1257422745431001E-17</v>
      </c>
      <c r="BX40" s="180">
        <f t="shared" si="18"/>
        <v>6.1257422745431001E-17</v>
      </c>
      <c r="BY40" s="180">
        <f t="shared" ref="BY40:CJ61" si="19">IF(BM40=$BM$40,0,BM40)</f>
        <v>0</v>
      </c>
      <c r="BZ40" s="180">
        <f t="shared" si="19"/>
        <v>0</v>
      </c>
      <c r="CA40" s="180">
        <f t="shared" si="19"/>
        <v>0</v>
      </c>
      <c r="CB40" s="180">
        <f t="shared" si="19"/>
        <v>0</v>
      </c>
      <c r="CC40" s="180">
        <f t="shared" si="19"/>
        <v>0</v>
      </c>
      <c r="CD40" s="180">
        <f t="shared" si="19"/>
        <v>0</v>
      </c>
      <c r="CE40" s="180">
        <f t="shared" si="19"/>
        <v>0</v>
      </c>
      <c r="CF40" s="180">
        <f t="shared" si="19"/>
        <v>0</v>
      </c>
      <c r="CG40" s="180">
        <f t="shared" si="19"/>
        <v>0</v>
      </c>
      <c r="CH40" s="180">
        <f t="shared" si="19"/>
        <v>0</v>
      </c>
      <c r="CI40" s="180">
        <f t="shared" si="19"/>
        <v>0</v>
      </c>
      <c r="CJ40" s="180">
        <f t="shared" si="19"/>
        <v>0</v>
      </c>
      <c r="CK40">
        <f t="shared" ref="CK40:CV61" si="20">MAX(0,1353*(1+0.033*COS(RADIANS(360*E$35/365)))*EXP(-AO40*AC40*Q40))</f>
        <v>20.284401274960064</v>
      </c>
      <c r="CL40">
        <f t="shared" si="20"/>
        <v>17.360767793289341</v>
      </c>
      <c r="CM40">
        <f t="shared" si="20"/>
        <v>14.011696302994885</v>
      </c>
      <c r="CN40">
        <f t="shared" si="20"/>
        <v>11.262778892975057</v>
      </c>
      <c r="CO40">
        <f t="shared" si="20"/>
        <v>9.5763194555329676</v>
      </c>
      <c r="CP40">
        <f t="shared" si="20"/>
        <v>8.9896155224652983</v>
      </c>
      <c r="CQ40">
        <f t="shared" si="20"/>
        <v>9.4828169458475475</v>
      </c>
      <c r="CR40">
        <f t="shared" si="20"/>
        <v>11.080671937144006</v>
      </c>
      <c r="CS40">
        <f t="shared" si="20"/>
        <v>13.75504659234451</v>
      </c>
      <c r="CT40">
        <f t="shared" si="20"/>
        <v>17.103383011798549</v>
      </c>
      <c r="CU40">
        <f t="shared" si="20"/>
        <v>20.112939786998474</v>
      </c>
      <c r="CV40">
        <f t="shared" si="20"/>
        <v>21.403786013982739</v>
      </c>
      <c r="CW40">
        <f t="shared" ref="CW40:DH61" si="21">IF(AND(BY40&gt;0,BA40&gt;0),1,0)</f>
        <v>0</v>
      </c>
      <c r="CX40">
        <f t="shared" si="21"/>
        <v>0</v>
      </c>
      <c r="CY40">
        <f t="shared" si="21"/>
        <v>0</v>
      </c>
      <c r="CZ40">
        <f t="shared" si="21"/>
        <v>0</v>
      </c>
      <c r="DA40">
        <f t="shared" si="21"/>
        <v>0</v>
      </c>
      <c r="DB40">
        <f t="shared" si="21"/>
        <v>0</v>
      </c>
      <c r="DC40">
        <f t="shared" si="21"/>
        <v>0</v>
      </c>
      <c r="DD40">
        <f t="shared" si="21"/>
        <v>0</v>
      </c>
      <c r="DE40">
        <f t="shared" si="21"/>
        <v>0</v>
      </c>
      <c r="DF40">
        <f t="shared" si="21"/>
        <v>0</v>
      </c>
      <c r="DG40">
        <f t="shared" si="21"/>
        <v>0</v>
      </c>
      <c r="DH40">
        <f t="shared" si="21"/>
        <v>0</v>
      </c>
      <c r="DI40">
        <f t="shared" ref="DI40:DT61" si="22">IF(BY40&gt;0,1,0)</f>
        <v>0</v>
      </c>
      <c r="DJ40">
        <f t="shared" si="22"/>
        <v>0</v>
      </c>
      <c r="DK40">
        <f t="shared" si="22"/>
        <v>0</v>
      </c>
      <c r="DL40">
        <f t="shared" si="22"/>
        <v>0</v>
      </c>
      <c r="DM40">
        <f t="shared" si="22"/>
        <v>0</v>
      </c>
      <c r="DN40">
        <f t="shared" si="22"/>
        <v>0</v>
      </c>
      <c r="DO40">
        <f t="shared" si="22"/>
        <v>0</v>
      </c>
      <c r="DP40">
        <f t="shared" si="22"/>
        <v>0</v>
      </c>
      <c r="DQ40">
        <f t="shared" si="22"/>
        <v>0</v>
      </c>
      <c r="DR40">
        <f t="shared" si="22"/>
        <v>0</v>
      </c>
      <c r="DS40">
        <f t="shared" si="22"/>
        <v>0</v>
      </c>
      <c r="DT40">
        <f t="shared" si="22"/>
        <v>0</v>
      </c>
      <c r="DU40">
        <f t="shared" ref="DU40:EF61" si="23">CW40*MAX(0,(CK40*BA40*15))</f>
        <v>0</v>
      </c>
      <c r="DV40">
        <f t="shared" si="23"/>
        <v>0</v>
      </c>
      <c r="DW40">
        <f t="shared" si="23"/>
        <v>0</v>
      </c>
      <c r="DX40">
        <f t="shared" si="23"/>
        <v>0</v>
      </c>
      <c r="DY40">
        <f t="shared" si="23"/>
        <v>0</v>
      </c>
      <c r="DZ40">
        <f t="shared" si="23"/>
        <v>0</v>
      </c>
      <c r="EA40">
        <f t="shared" si="23"/>
        <v>0</v>
      </c>
      <c r="EB40">
        <f t="shared" si="23"/>
        <v>0</v>
      </c>
      <c r="EC40">
        <f t="shared" si="23"/>
        <v>0</v>
      </c>
      <c r="ED40">
        <f t="shared" si="23"/>
        <v>0</v>
      </c>
      <c r="EE40">
        <f t="shared" si="23"/>
        <v>0</v>
      </c>
      <c r="EF40">
        <f t="shared" si="23"/>
        <v>0</v>
      </c>
      <c r="EG40">
        <f t="shared" ref="EG40:ER61" si="24">DI40*MAX(0,(CK40*BY40*15))</f>
        <v>0</v>
      </c>
      <c r="EH40">
        <f t="shared" si="24"/>
        <v>0</v>
      </c>
      <c r="EI40">
        <f t="shared" si="24"/>
        <v>0</v>
      </c>
      <c r="EJ40">
        <f t="shared" si="24"/>
        <v>0</v>
      </c>
      <c r="EK40">
        <f t="shared" si="24"/>
        <v>0</v>
      </c>
      <c r="EL40">
        <f t="shared" si="24"/>
        <v>0</v>
      </c>
      <c r="EM40">
        <f t="shared" si="24"/>
        <v>0</v>
      </c>
      <c r="EN40">
        <f t="shared" si="24"/>
        <v>0</v>
      </c>
      <c r="EO40">
        <f t="shared" si="24"/>
        <v>0</v>
      </c>
      <c r="EP40">
        <f t="shared" si="24"/>
        <v>0</v>
      </c>
      <c r="EQ40">
        <f t="shared" si="24"/>
        <v>0</v>
      </c>
      <c r="ER40">
        <f t="shared" si="24"/>
        <v>0</v>
      </c>
    </row>
    <row r="41" spans="2:148" x14ac:dyDescent="0.2">
      <c r="B41" s="179">
        <v>4.1666666666666664E-2</v>
      </c>
      <c r="C41">
        <f>C40-15</f>
        <v>165</v>
      </c>
      <c r="D41">
        <f t="shared" ref="D41:D63" si="25">RADIANS(C41)</f>
        <v>2.8797932657906435</v>
      </c>
      <c r="E41">
        <f t="shared" si="13"/>
        <v>0</v>
      </c>
      <c r="F41">
        <f t="shared" si="13"/>
        <v>0</v>
      </c>
      <c r="G41">
        <f t="shared" si="13"/>
        <v>0</v>
      </c>
      <c r="H41">
        <f t="shared" si="13"/>
        <v>0</v>
      </c>
      <c r="I41">
        <f t="shared" si="13"/>
        <v>0</v>
      </c>
      <c r="J41">
        <f t="shared" si="13"/>
        <v>0</v>
      </c>
      <c r="K41">
        <f t="shared" si="13"/>
        <v>0</v>
      </c>
      <c r="L41">
        <f t="shared" si="13"/>
        <v>0</v>
      </c>
      <c r="M41">
        <f t="shared" si="13"/>
        <v>0</v>
      </c>
      <c r="N41">
        <f t="shared" si="13"/>
        <v>0</v>
      </c>
      <c r="O41">
        <f t="shared" si="13"/>
        <v>0</v>
      </c>
      <c r="P41">
        <f t="shared" si="13"/>
        <v>0</v>
      </c>
      <c r="Q41">
        <f t="shared" si="14"/>
        <v>3.1156564804798061</v>
      </c>
      <c r="R41">
        <f t="shared" si="14"/>
        <v>3.2239999999999998</v>
      </c>
      <c r="S41">
        <f t="shared" si="14"/>
        <v>3.3719999999999999</v>
      </c>
      <c r="T41">
        <f t="shared" si="14"/>
        <v>3.52</v>
      </c>
      <c r="U41">
        <f t="shared" si="14"/>
        <v>3.6283435195201936</v>
      </c>
      <c r="V41">
        <f t="shared" si="14"/>
        <v>3.6679999999999997</v>
      </c>
      <c r="W41">
        <f t="shared" si="14"/>
        <v>3.6283435195201936</v>
      </c>
      <c r="X41">
        <f t="shared" si="14"/>
        <v>3.52</v>
      </c>
      <c r="Y41">
        <f t="shared" si="14"/>
        <v>3.3719999999999999</v>
      </c>
      <c r="Z41">
        <f t="shared" si="14"/>
        <v>3.2239999999999998</v>
      </c>
      <c r="AA41">
        <f t="shared" si="14"/>
        <v>3.1156564804798061</v>
      </c>
      <c r="AB41">
        <f t="shared" si="14"/>
        <v>3.0760000000000001</v>
      </c>
      <c r="AC41">
        <f t="shared" si="15"/>
        <v>3.7499999999999881E-2</v>
      </c>
      <c r="AD41">
        <f t="shared" si="15"/>
        <v>3.7499999999999881E-2</v>
      </c>
      <c r="AE41">
        <f t="shared" si="15"/>
        <v>3.7499999999999881E-2</v>
      </c>
      <c r="AF41">
        <f t="shared" si="15"/>
        <v>3.7499999999999881E-2</v>
      </c>
      <c r="AG41">
        <f t="shared" si="15"/>
        <v>3.7499999999999881E-2</v>
      </c>
      <c r="AH41">
        <f t="shared" si="15"/>
        <v>3.7499999999999881E-2</v>
      </c>
      <c r="AI41">
        <f t="shared" si="15"/>
        <v>3.7499999999999881E-2</v>
      </c>
      <c r="AJ41">
        <f t="shared" si="15"/>
        <v>3.7499999999999881E-2</v>
      </c>
      <c r="AK41">
        <f t="shared" si="15"/>
        <v>3.7499999999999881E-2</v>
      </c>
      <c r="AL41">
        <f t="shared" si="15"/>
        <v>3.7499999999999881E-2</v>
      </c>
      <c r="AM41">
        <f t="shared" si="15"/>
        <v>3.7499999999999881E-2</v>
      </c>
      <c r="AN41">
        <f t="shared" si="15"/>
        <v>3.7499999999999881E-2</v>
      </c>
      <c r="AO41">
        <f t="shared" si="16"/>
        <v>36.218241904286437</v>
      </c>
      <c r="AP41">
        <f t="shared" si="16"/>
        <v>36.218241904286437</v>
      </c>
      <c r="AQ41">
        <f t="shared" si="16"/>
        <v>36.218241904286437</v>
      </c>
      <c r="AR41">
        <f t="shared" si="16"/>
        <v>36.218241904286437</v>
      </c>
      <c r="AS41">
        <f t="shared" si="16"/>
        <v>36.218241904286437</v>
      </c>
      <c r="AT41">
        <f t="shared" si="16"/>
        <v>36.218241904286437</v>
      </c>
      <c r="AU41">
        <f t="shared" si="16"/>
        <v>36.218241904286437</v>
      </c>
      <c r="AV41">
        <f t="shared" si="16"/>
        <v>36.218241904286437</v>
      </c>
      <c r="AW41">
        <f t="shared" si="16"/>
        <v>36.218241904286437</v>
      </c>
      <c r="AX41">
        <f t="shared" si="16"/>
        <v>36.218241904286437</v>
      </c>
      <c r="AY41">
        <f t="shared" si="16"/>
        <v>36.218241904286437</v>
      </c>
      <c r="AZ41">
        <f t="shared" si="16"/>
        <v>36.218241904286437</v>
      </c>
      <c r="BA41">
        <f t="shared" si="17"/>
        <v>-0.84943074543362007</v>
      </c>
      <c r="BB41">
        <f t="shared" si="17"/>
        <v>-0.77040768150652905</v>
      </c>
      <c r="BC41">
        <f t="shared" si="17"/>
        <v>-0.648106340511721</v>
      </c>
      <c r="BD41">
        <f t="shared" si="17"/>
        <v>-0.48017117651787111</v>
      </c>
      <c r="BE41">
        <f t="shared" si="17"/>
        <v>-0.33245058133862448</v>
      </c>
      <c r="BF41">
        <f t="shared" si="17"/>
        <v>-0.25422036383080904</v>
      </c>
      <c r="BG41">
        <f t="shared" si="17"/>
        <v>-0.28463189022416002</v>
      </c>
      <c r="BH41">
        <f t="shared" si="17"/>
        <v>-0.41097513995702833</v>
      </c>
      <c r="BI41">
        <f t="shared" si="17"/>
        <v>-0.57951576513646652</v>
      </c>
      <c r="BJ41">
        <f t="shared" si="17"/>
        <v>-0.72750491092411607</v>
      </c>
      <c r="BK41">
        <f t="shared" si="17"/>
        <v>-0.8286057212418132</v>
      </c>
      <c r="BL41">
        <f t="shared" si="17"/>
        <v>-0.86737182460781714</v>
      </c>
      <c r="BM41" s="180">
        <f t="shared" si="18"/>
        <v>6.1257422745431001E-17</v>
      </c>
      <c r="BN41" s="180">
        <f t="shared" si="18"/>
        <v>6.1257422745431001E-17</v>
      </c>
      <c r="BO41" s="180">
        <f t="shared" si="18"/>
        <v>6.1257422745431001E-17</v>
      </c>
      <c r="BP41" s="180">
        <f t="shared" si="18"/>
        <v>6.1257422745431001E-17</v>
      </c>
      <c r="BQ41" s="180">
        <f t="shared" si="18"/>
        <v>6.1257422745431001E-17</v>
      </c>
      <c r="BR41" s="180">
        <f t="shared" si="18"/>
        <v>6.1257422745431001E-17</v>
      </c>
      <c r="BS41" s="180">
        <f t="shared" si="18"/>
        <v>6.1257422745431001E-17</v>
      </c>
      <c r="BT41" s="180">
        <f t="shared" si="18"/>
        <v>6.1257422745431001E-17</v>
      </c>
      <c r="BU41" s="180">
        <f t="shared" si="18"/>
        <v>6.1257422745431001E-17</v>
      </c>
      <c r="BV41" s="180">
        <f t="shared" si="18"/>
        <v>6.1257422745431001E-17</v>
      </c>
      <c r="BW41" s="180">
        <f t="shared" si="18"/>
        <v>6.1257422745431001E-17</v>
      </c>
      <c r="BX41" s="180">
        <f t="shared" si="18"/>
        <v>6.1257422745431001E-17</v>
      </c>
      <c r="BY41" s="180">
        <f t="shared" si="19"/>
        <v>0</v>
      </c>
      <c r="BZ41" s="180">
        <f t="shared" si="19"/>
        <v>0</v>
      </c>
      <c r="CA41" s="180">
        <f t="shared" si="19"/>
        <v>0</v>
      </c>
      <c r="CB41" s="180">
        <f t="shared" si="19"/>
        <v>0</v>
      </c>
      <c r="CC41" s="180">
        <f t="shared" si="19"/>
        <v>0</v>
      </c>
      <c r="CD41" s="180">
        <f t="shared" si="19"/>
        <v>0</v>
      </c>
      <c r="CE41" s="180">
        <f t="shared" si="19"/>
        <v>0</v>
      </c>
      <c r="CF41" s="180">
        <f t="shared" si="19"/>
        <v>0</v>
      </c>
      <c r="CG41" s="180">
        <f t="shared" si="19"/>
        <v>0</v>
      </c>
      <c r="CH41" s="180">
        <f t="shared" si="19"/>
        <v>0</v>
      </c>
      <c r="CI41" s="180">
        <f t="shared" si="19"/>
        <v>0</v>
      </c>
      <c r="CJ41" s="180">
        <f t="shared" si="19"/>
        <v>0</v>
      </c>
      <c r="CK41">
        <f t="shared" si="20"/>
        <v>20.284401274960064</v>
      </c>
      <c r="CL41">
        <f t="shared" si="20"/>
        <v>17.360767793289341</v>
      </c>
      <c r="CM41">
        <f t="shared" si="20"/>
        <v>14.011696302994885</v>
      </c>
      <c r="CN41">
        <f t="shared" si="20"/>
        <v>11.262778892975057</v>
      </c>
      <c r="CO41">
        <f t="shared" si="20"/>
        <v>9.5763194555329676</v>
      </c>
      <c r="CP41">
        <f t="shared" si="20"/>
        <v>8.9896155224652983</v>
      </c>
      <c r="CQ41">
        <f t="shared" si="20"/>
        <v>9.4828169458475475</v>
      </c>
      <c r="CR41">
        <f t="shared" si="20"/>
        <v>11.080671937144006</v>
      </c>
      <c r="CS41">
        <f t="shared" si="20"/>
        <v>13.75504659234451</v>
      </c>
      <c r="CT41">
        <f t="shared" si="20"/>
        <v>17.103383011798549</v>
      </c>
      <c r="CU41">
        <f t="shared" si="20"/>
        <v>20.112939786998474</v>
      </c>
      <c r="CV41">
        <f t="shared" si="20"/>
        <v>21.403786013982739</v>
      </c>
      <c r="CW41">
        <f t="shared" si="21"/>
        <v>0</v>
      </c>
      <c r="CX41">
        <f t="shared" si="21"/>
        <v>0</v>
      </c>
      <c r="CY41">
        <f t="shared" si="21"/>
        <v>0</v>
      </c>
      <c r="CZ41">
        <f t="shared" si="21"/>
        <v>0</v>
      </c>
      <c r="DA41">
        <f t="shared" si="21"/>
        <v>0</v>
      </c>
      <c r="DB41">
        <f t="shared" si="21"/>
        <v>0</v>
      </c>
      <c r="DC41">
        <f t="shared" si="21"/>
        <v>0</v>
      </c>
      <c r="DD41">
        <f t="shared" si="21"/>
        <v>0</v>
      </c>
      <c r="DE41">
        <f t="shared" si="21"/>
        <v>0</v>
      </c>
      <c r="DF41">
        <f t="shared" si="21"/>
        <v>0</v>
      </c>
      <c r="DG41">
        <f t="shared" si="21"/>
        <v>0</v>
      </c>
      <c r="DH41">
        <f t="shared" si="21"/>
        <v>0</v>
      </c>
      <c r="DI41">
        <f t="shared" si="22"/>
        <v>0</v>
      </c>
      <c r="DJ41">
        <f t="shared" si="22"/>
        <v>0</v>
      </c>
      <c r="DK41">
        <f t="shared" si="22"/>
        <v>0</v>
      </c>
      <c r="DL41">
        <f t="shared" si="22"/>
        <v>0</v>
      </c>
      <c r="DM41">
        <f t="shared" si="22"/>
        <v>0</v>
      </c>
      <c r="DN41">
        <f t="shared" si="22"/>
        <v>0</v>
      </c>
      <c r="DO41">
        <f t="shared" si="22"/>
        <v>0</v>
      </c>
      <c r="DP41">
        <f t="shared" si="22"/>
        <v>0</v>
      </c>
      <c r="DQ41">
        <f t="shared" si="22"/>
        <v>0</v>
      </c>
      <c r="DR41">
        <f t="shared" si="22"/>
        <v>0</v>
      </c>
      <c r="DS41">
        <f t="shared" si="22"/>
        <v>0</v>
      </c>
      <c r="DT41">
        <f t="shared" si="22"/>
        <v>0</v>
      </c>
      <c r="DU41">
        <f t="shared" si="23"/>
        <v>0</v>
      </c>
      <c r="DV41">
        <f t="shared" si="23"/>
        <v>0</v>
      </c>
      <c r="DW41">
        <f t="shared" si="23"/>
        <v>0</v>
      </c>
      <c r="DX41">
        <f t="shared" si="23"/>
        <v>0</v>
      </c>
      <c r="DY41">
        <f t="shared" si="23"/>
        <v>0</v>
      </c>
      <c r="DZ41">
        <f t="shared" si="23"/>
        <v>0</v>
      </c>
      <c r="EA41">
        <f t="shared" si="23"/>
        <v>0</v>
      </c>
      <c r="EB41">
        <f t="shared" si="23"/>
        <v>0</v>
      </c>
      <c r="EC41">
        <f t="shared" si="23"/>
        <v>0</v>
      </c>
      <c r="ED41">
        <f t="shared" si="23"/>
        <v>0</v>
      </c>
      <c r="EE41">
        <f t="shared" si="23"/>
        <v>0</v>
      </c>
      <c r="EF41">
        <f t="shared" si="23"/>
        <v>0</v>
      </c>
      <c r="EG41">
        <f t="shared" si="24"/>
        <v>0</v>
      </c>
      <c r="EH41">
        <f t="shared" si="24"/>
        <v>0</v>
      </c>
      <c r="EI41">
        <f t="shared" si="24"/>
        <v>0</v>
      </c>
      <c r="EJ41">
        <f t="shared" si="24"/>
        <v>0</v>
      </c>
      <c r="EK41">
        <f t="shared" si="24"/>
        <v>0</v>
      </c>
      <c r="EL41">
        <f t="shared" si="24"/>
        <v>0</v>
      </c>
      <c r="EM41">
        <f t="shared" si="24"/>
        <v>0</v>
      </c>
      <c r="EN41">
        <f t="shared" si="24"/>
        <v>0</v>
      </c>
      <c r="EO41">
        <f t="shared" si="24"/>
        <v>0</v>
      </c>
      <c r="EP41">
        <f t="shared" si="24"/>
        <v>0</v>
      </c>
      <c r="EQ41">
        <f t="shared" si="24"/>
        <v>0</v>
      </c>
      <c r="ER41">
        <f t="shared" si="24"/>
        <v>0</v>
      </c>
    </row>
    <row r="42" spans="2:148" x14ac:dyDescent="0.2">
      <c r="B42" s="179">
        <v>8.3333333333333301E-2</v>
      </c>
      <c r="C42">
        <f t="shared" ref="C42:C63" si="26">C41-15</f>
        <v>150</v>
      </c>
      <c r="D42">
        <f t="shared" si="25"/>
        <v>2.6179938779914944</v>
      </c>
      <c r="E42">
        <f t="shared" si="13"/>
        <v>0</v>
      </c>
      <c r="F42">
        <f t="shared" si="13"/>
        <v>0</v>
      </c>
      <c r="G42">
        <f t="shared" si="13"/>
        <v>0</v>
      </c>
      <c r="H42">
        <f t="shared" si="13"/>
        <v>0</v>
      </c>
      <c r="I42">
        <f t="shared" si="13"/>
        <v>0</v>
      </c>
      <c r="J42">
        <f t="shared" si="13"/>
        <v>0</v>
      </c>
      <c r="K42">
        <f t="shared" si="13"/>
        <v>0</v>
      </c>
      <c r="L42">
        <f t="shared" si="13"/>
        <v>0</v>
      </c>
      <c r="M42">
        <f t="shared" si="13"/>
        <v>0</v>
      </c>
      <c r="N42">
        <f t="shared" si="13"/>
        <v>0</v>
      </c>
      <c r="O42">
        <f t="shared" si="13"/>
        <v>0</v>
      </c>
      <c r="P42">
        <f t="shared" si="13"/>
        <v>0</v>
      </c>
      <c r="Q42">
        <f t="shared" si="14"/>
        <v>3.1156564804798061</v>
      </c>
      <c r="R42">
        <f t="shared" si="14"/>
        <v>3.2239999999999998</v>
      </c>
      <c r="S42">
        <f t="shared" si="14"/>
        <v>3.3719999999999999</v>
      </c>
      <c r="T42">
        <f t="shared" si="14"/>
        <v>3.52</v>
      </c>
      <c r="U42">
        <f t="shared" si="14"/>
        <v>3.6283435195201936</v>
      </c>
      <c r="V42">
        <f t="shared" si="14"/>
        <v>3.6679999999999997</v>
      </c>
      <c r="W42">
        <f t="shared" si="14"/>
        <v>3.6283435195201936</v>
      </c>
      <c r="X42">
        <f t="shared" si="14"/>
        <v>3.52</v>
      </c>
      <c r="Y42">
        <f t="shared" si="14"/>
        <v>3.3719999999999999</v>
      </c>
      <c r="Z42">
        <f t="shared" si="14"/>
        <v>3.2239999999999998</v>
      </c>
      <c r="AA42">
        <f t="shared" si="14"/>
        <v>3.1156564804798061</v>
      </c>
      <c r="AB42">
        <f t="shared" si="14"/>
        <v>3.0760000000000001</v>
      </c>
      <c r="AC42">
        <f t="shared" si="15"/>
        <v>3.7499999999999881E-2</v>
      </c>
      <c r="AD42">
        <f t="shared" si="15"/>
        <v>3.7499999999999881E-2</v>
      </c>
      <c r="AE42">
        <f t="shared" si="15"/>
        <v>3.7499999999999881E-2</v>
      </c>
      <c r="AF42">
        <f t="shared" si="15"/>
        <v>3.7499999999999881E-2</v>
      </c>
      <c r="AG42">
        <f t="shared" si="15"/>
        <v>3.7499999999999881E-2</v>
      </c>
      <c r="AH42">
        <f t="shared" si="15"/>
        <v>3.7499999999999881E-2</v>
      </c>
      <c r="AI42">
        <f t="shared" si="15"/>
        <v>3.7499999999999881E-2</v>
      </c>
      <c r="AJ42">
        <f t="shared" si="15"/>
        <v>3.7499999999999881E-2</v>
      </c>
      <c r="AK42">
        <f t="shared" si="15"/>
        <v>3.7499999999999881E-2</v>
      </c>
      <c r="AL42">
        <f t="shared" si="15"/>
        <v>3.7499999999999881E-2</v>
      </c>
      <c r="AM42">
        <f t="shared" si="15"/>
        <v>3.7499999999999881E-2</v>
      </c>
      <c r="AN42">
        <f t="shared" si="15"/>
        <v>3.7499999999999881E-2</v>
      </c>
      <c r="AO42">
        <f t="shared" si="16"/>
        <v>36.218241904286437</v>
      </c>
      <c r="AP42">
        <f t="shared" si="16"/>
        <v>36.218241904286437</v>
      </c>
      <c r="AQ42">
        <f t="shared" si="16"/>
        <v>36.218241904286437</v>
      </c>
      <c r="AR42">
        <f t="shared" si="16"/>
        <v>36.218241904286437</v>
      </c>
      <c r="AS42">
        <f t="shared" si="16"/>
        <v>36.218241904286437</v>
      </c>
      <c r="AT42">
        <f t="shared" si="16"/>
        <v>36.218241904286437</v>
      </c>
      <c r="AU42">
        <f t="shared" si="16"/>
        <v>36.218241904286437</v>
      </c>
      <c r="AV42">
        <f t="shared" si="16"/>
        <v>36.218241904286437</v>
      </c>
      <c r="AW42">
        <f t="shared" si="16"/>
        <v>36.218241904286437</v>
      </c>
      <c r="AX42">
        <f t="shared" si="16"/>
        <v>36.218241904286437</v>
      </c>
      <c r="AY42">
        <f t="shared" si="16"/>
        <v>36.218241904286437</v>
      </c>
      <c r="AZ42">
        <f t="shared" si="16"/>
        <v>36.218241904286437</v>
      </c>
      <c r="BA42">
        <f t="shared" si="17"/>
        <v>-0.79056748979357394</v>
      </c>
      <c r="BB42">
        <f t="shared" si="17"/>
        <v>-0.70891775083756203</v>
      </c>
      <c r="BC42">
        <f t="shared" si="17"/>
        <v>-0.5850467855221968</v>
      </c>
      <c r="BD42">
        <f t="shared" si="17"/>
        <v>-0.41782920531745638</v>
      </c>
      <c r="BE42">
        <f t="shared" si="17"/>
        <v>-0.27258822893428192</v>
      </c>
      <c r="BF42">
        <f t="shared" si="17"/>
        <v>-0.19623003097142</v>
      </c>
      <c r="BG42">
        <f t="shared" si="17"/>
        <v>-0.22587134297606193</v>
      </c>
      <c r="BH42">
        <f t="shared" si="17"/>
        <v>-0.34961065848485201</v>
      </c>
      <c r="BI42">
        <f t="shared" si="17"/>
        <v>-0.51642753718083811</v>
      </c>
      <c r="BJ42">
        <f t="shared" si="17"/>
        <v>-0.66519499572199903</v>
      </c>
      <c r="BK42">
        <f t="shared" si="17"/>
        <v>-0.76887333907372124</v>
      </c>
      <c r="BL42">
        <f t="shared" si="17"/>
        <v>-0.80939149558918921</v>
      </c>
      <c r="BM42" s="180">
        <f t="shared" si="18"/>
        <v>6.1257422745431001E-17</v>
      </c>
      <c r="BN42" s="180">
        <f t="shared" si="18"/>
        <v>6.1257422745431001E-17</v>
      </c>
      <c r="BO42" s="180">
        <f t="shared" si="18"/>
        <v>6.1257422745431001E-17</v>
      </c>
      <c r="BP42" s="180">
        <f t="shared" si="18"/>
        <v>6.1257422745431001E-17</v>
      </c>
      <c r="BQ42" s="180">
        <f t="shared" si="18"/>
        <v>6.1257422745431001E-17</v>
      </c>
      <c r="BR42" s="180">
        <f t="shared" si="18"/>
        <v>6.1257422745431001E-17</v>
      </c>
      <c r="BS42" s="180">
        <f t="shared" si="18"/>
        <v>6.1257422745431001E-17</v>
      </c>
      <c r="BT42" s="180">
        <f t="shared" si="18"/>
        <v>6.1257422745431001E-17</v>
      </c>
      <c r="BU42" s="180">
        <f t="shared" si="18"/>
        <v>6.1257422745431001E-17</v>
      </c>
      <c r="BV42" s="180">
        <f t="shared" si="18"/>
        <v>6.1257422745431001E-17</v>
      </c>
      <c r="BW42" s="180">
        <f t="shared" si="18"/>
        <v>6.1257422745431001E-17</v>
      </c>
      <c r="BX42" s="180">
        <f t="shared" si="18"/>
        <v>6.1257422745431001E-17</v>
      </c>
      <c r="BY42" s="180">
        <f t="shared" si="19"/>
        <v>0</v>
      </c>
      <c r="BZ42" s="180">
        <f t="shared" si="19"/>
        <v>0</v>
      </c>
      <c r="CA42" s="180">
        <f t="shared" si="19"/>
        <v>0</v>
      </c>
      <c r="CB42" s="180">
        <f t="shared" si="19"/>
        <v>0</v>
      </c>
      <c r="CC42" s="180">
        <f t="shared" si="19"/>
        <v>0</v>
      </c>
      <c r="CD42" s="180">
        <f t="shared" si="19"/>
        <v>0</v>
      </c>
      <c r="CE42" s="180">
        <f t="shared" si="19"/>
        <v>0</v>
      </c>
      <c r="CF42" s="180">
        <f t="shared" si="19"/>
        <v>0</v>
      </c>
      <c r="CG42" s="180">
        <f t="shared" si="19"/>
        <v>0</v>
      </c>
      <c r="CH42" s="180">
        <f t="shared" si="19"/>
        <v>0</v>
      </c>
      <c r="CI42" s="180">
        <f t="shared" si="19"/>
        <v>0</v>
      </c>
      <c r="CJ42" s="180">
        <f t="shared" si="19"/>
        <v>0</v>
      </c>
      <c r="CK42">
        <f t="shared" si="20"/>
        <v>20.284401274960064</v>
      </c>
      <c r="CL42">
        <f t="shared" si="20"/>
        <v>17.360767793289341</v>
      </c>
      <c r="CM42">
        <f t="shared" si="20"/>
        <v>14.011696302994885</v>
      </c>
      <c r="CN42">
        <f t="shared" si="20"/>
        <v>11.262778892975057</v>
      </c>
      <c r="CO42">
        <f t="shared" si="20"/>
        <v>9.5763194555329676</v>
      </c>
      <c r="CP42">
        <f t="shared" si="20"/>
        <v>8.9896155224652983</v>
      </c>
      <c r="CQ42">
        <f t="shared" si="20"/>
        <v>9.4828169458475475</v>
      </c>
      <c r="CR42">
        <f t="shared" si="20"/>
        <v>11.080671937144006</v>
      </c>
      <c r="CS42">
        <f t="shared" si="20"/>
        <v>13.75504659234451</v>
      </c>
      <c r="CT42">
        <f t="shared" si="20"/>
        <v>17.103383011798549</v>
      </c>
      <c r="CU42">
        <f t="shared" si="20"/>
        <v>20.112939786998474</v>
      </c>
      <c r="CV42">
        <f t="shared" si="20"/>
        <v>21.403786013982739</v>
      </c>
      <c r="CW42">
        <f t="shared" si="21"/>
        <v>0</v>
      </c>
      <c r="CX42">
        <f t="shared" si="21"/>
        <v>0</v>
      </c>
      <c r="CY42">
        <f t="shared" si="21"/>
        <v>0</v>
      </c>
      <c r="CZ42">
        <f t="shared" si="21"/>
        <v>0</v>
      </c>
      <c r="DA42">
        <f t="shared" si="21"/>
        <v>0</v>
      </c>
      <c r="DB42">
        <f t="shared" si="21"/>
        <v>0</v>
      </c>
      <c r="DC42">
        <f t="shared" si="21"/>
        <v>0</v>
      </c>
      <c r="DD42">
        <f t="shared" si="21"/>
        <v>0</v>
      </c>
      <c r="DE42">
        <f t="shared" si="21"/>
        <v>0</v>
      </c>
      <c r="DF42">
        <f t="shared" si="21"/>
        <v>0</v>
      </c>
      <c r="DG42">
        <f t="shared" si="21"/>
        <v>0</v>
      </c>
      <c r="DH42">
        <f t="shared" si="21"/>
        <v>0</v>
      </c>
      <c r="DI42">
        <f t="shared" si="22"/>
        <v>0</v>
      </c>
      <c r="DJ42">
        <f t="shared" si="22"/>
        <v>0</v>
      </c>
      <c r="DK42">
        <f t="shared" si="22"/>
        <v>0</v>
      </c>
      <c r="DL42">
        <f t="shared" si="22"/>
        <v>0</v>
      </c>
      <c r="DM42">
        <f t="shared" si="22"/>
        <v>0</v>
      </c>
      <c r="DN42">
        <f t="shared" si="22"/>
        <v>0</v>
      </c>
      <c r="DO42">
        <f t="shared" si="22"/>
        <v>0</v>
      </c>
      <c r="DP42">
        <f t="shared" si="22"/>
        <v>0</v>
      </c>
      <c r="DQ42">
        <f t="shared" si="22"/>
        <v>0</v>
      </c>
      <c r="DR42">
        <f t="shared" si="22"/>
        <v>0</v>
      </c>
      <c r="DS42">
        <f t="shared" si="22"/>
        <v>0</v>
      </c>
      <c r="DT42">
        <f t="shared" si="22"/>
        <v>0</v>
      </c>
      <c r="DU42">
        <f t="shared" si="23"/>
        <v>0</v>
      </c>
      <c r="DV42">
        <f t="shared" si="23"/>
        <v>0</v>
      </c>
      <c r="DW42">
        <f t="shared" si="23"/>
        <v>0</v>
      </c>
      <c r="DX42">
        <f t="shared" si="23"/>
        <v>0</v>
      </c>
      <c r="DY42">
        <f t="shared" si="23"/>
        <v>0</v>
      </c>
      <c r="DZ42">
        <f t="shared" si="23"/>
        <v>0</v>
      </c>
      <c r="EA42">
        <f t="shared" si="23"/>
        <v>0</v>
      </c>
      <c r="EB42">
        <f t="shared" si="23"/>
        <v>0</v>
      </c>
      <c r="EC42">
        <f t="shared" si="23"/>
        <v>0</v>
      </c>
      <c r="ED42">
        <f t="shared" si="23"/>
        <v>0</v>
      </c>
      <c r="EE42">
        <f t="shared" si="23"/>
        <v>0</v>
      </c>
      <c r="EF42">
        <f t="shared" si="23"/>
        <v>0</v>
      </c>
      <c r="EG42">
        <f t="shared" si="24"/>
        <v>0</v>
      </c>
      <c r="EH42">
        <f t="shared" si="24"/>
        <v>0</v>
      </c>
      <c r="EI42">
        <f t="shared" si="24"/>
        <v>0</v>
      </c>
      <c r="EJ42">
        <f t="shared" si="24"/>
        <v>0</v>
      </c>
      <c r="EK42">
        <f t="shared" si="24"/>
        <v>0</v>
      </c>
      <c r="EL42">
        <f t="shared" si="24"/>
        <v>0</v>
      </c>
      <c r="EM42">
        <f t="shared" si="24"/>
        <v>0</v>
      </c>
      <c r="EN42">
        <f t="shared" si="24"/>
        <v>0</v>
      </c>
      <c r="EO42">
        <f t="shared" si="24"/>
        <v>0</v>
      </c>
      <c r="EP42">
        <f t="shared" si="24"/>
        <v>0</v>
      </c>
      <c r="EQ42">
        <f t="shared" si="24"/>
        <v>0</v>
      </c>
      <c r="ER42">
        <f t="shared" si="24"/>
        <v>0</v>
      </c>
    </row>
    <row r="43" spans="2:148" x14ac:dyDescent="0.2">
      <c r="B43" s="179">
        <v>0.125</v>
      </c>
      <c r="C43">
        <f t="shared" si="26"/>
        <v>135</v>
      </c>
      <c r="D43">
        <f t="shared" si="25"/>
        <v>2.3561944901923448</v>
      </c>
      <c r="E43">
        <f t="shared" si="13"/>
        <v>0</v>
      </c>
      <c r="F43">
        <f t="shared" si="13"/>
        <v>0</v>
      </c>
      <c r="G43">
        <f t="shared" si="13"/>
        <v>0</v>
      </c>
      <c r="H43">
        <f t="shared" si="13"/>
        <v>0</v>
      </c>
      <c r="I43">
        <f t="shared" si="13"/>
        <v>0</v>
      </c>
      <c r="J43">
        <f t="shared" si="13"/>
        <v>0</v>
      </c>
      <c r="K43">
        <f t="shared" si="13"/>
        <v>0</v>
      </c>
      <c r="L43">
        <f t="shared" si="13"/>
        <v>0</v>
      </c>
      <c r="M43">
        <f t="shared" si="13"/>
        <v>0</v>
      </c>
      <c r="N43">
        <f t="shared" si="13"/>
        <v>0</v>
      </c>
      <c r="O43">
        <f t="shared" si="13"/>
        <v>0</v>
      </c>
      <c r="P43">
        <f t="shared" si="13"/>
        <v>0</v>
      </c>
      <c r="Q43">
        <f t="shared" si="14"/>
        <v>3.1156564804798061</v>
      </c>
      <c r="R43">
        <f t="shared" si="14"/>
        <v>3.2239999999999998</v>
      </c>
      <c r="S43">
        <f t="shared" si="14"/>
        <v>3.3719999999999999</v>
      </c>
      <c r="T43">
        <f t="shared" si="14"/>
        <v>3.52</v>
      </c>
      <c r="U43">
        <f t="shared" si="14"/>
        <v>3.6283435195201936</v>
      </c>
      <c r="V43">
        <f t="shared" si="14"/>
        <v>3.6679999999999997</v>
      </c>
      <c r="W43">
        <f t="shared" si="14"/>
        <v>3.6283435195201936</v>
      </c>
      <c r="X43">
        <f t="shared" si="14"/>
        <v>3.52</v>
      </c>
      <c r="Y43">
        <f t="shared" si="14"/>
        <v>3.3719999999999999</v>
      </c>
      <c r="Z43">
        <f t="shared" si="14"/>
        <v>3.2239999999999998</v>
      </c>
      <c r="AA43">
        <f t="shared" si="14"/>
        <v>3.1156564804798061</v>
      </c>
      <c r="AB43">
        <f t="shared" si="14"/>
        <v>3.0760000000000001</v>
      </c>
      <c r="AC43">
        <f t="shared" si="15"/>
        <v>3.7499999999999881E-2</v>
      </c>
      <c r="AD43">
        <f t="shared" si="15"/>
        <v>3.7499999999999881E-2</v>
      </c>
      <c r="AE43">
        <f t="shared" si="15"/>
        <v>3.7499999999999881E-2</v>
      </c>
      <c r="AF43">
        <f t="shared" si="15"/>
        <v>3.7499999999999881E-2</v>
      </c>
      <c r="AG43">
        <f t="shared" si="15"/>
        <v>3.7499999999999881E-2</v>
      </c>
      <c r="AH43">
        <f t="shared" si="15"/>
        <v>3.7499999999999881E-2</v>
      </c>
      <c r="AI43">
        <f t="shared" si="15"/>
        <v>3.7499999999999881E-2</v>
      </c>
      <c r="AJ43">
        <f t="shared" si="15"/>
        <v>3.7499999999999881E-2</v>
      </c>
      <c r="AK43">
        <f t="shared" si="15"/>
        <v>3.7499999999999881E-2</v>
      </c>
      <c r="AL43">
        <f t="shared" si="15"/>
        <v>3.7499999999999881E-2</v>
      </c>
      <c r="AM43">
        <f t="shared" si="15"/>
        <v>3.7499999999999881E-2</v>
      </c>
      <c r="AN43">
        <f t="shared" si="15"/>
        <v>3.7499999999999881E-2</v>
      </c>
      <c r="AO43">
        <f t="shared" si="16"/>
        <v>36.218241904286437</v>
      </c>
      <c r="AP43">
        <f t="shared" si="16"/>
        <v>36.218241904286437</v>
      </c>
      <c r="AQ43">
        <f t="shared" si="16"/>
        <v>36.218241904286437</v>
      </c>
      <c r="AR43">
        <f t="shared" si="16"/>
        <v>36.218241904286437</v>
      </c>
      <c r="AS43">
        <f t="shared" si="16"/>
        <v>36.218241904286437</v>
      </c>
      <c r="AT43">
        <f t="shared" si="16"/>
        <v>36.218241904286437</v>
      </c>
      <c r="AU43">
        <f t="shared" si="16"/>
        <v>36.218241904286437</v>
      </c>
      <c r="AV43">
        <f t="shared" si="16"/>
        <v>36.218241904286437</v>
      </c>
      <c r="AW43">
        <f t="shared" si="16"/>
        <v>36.218241904286437</v>
      </c>
      <c r="AX43">
        <f t="shared" si="16"/>
        <v>36.218241904286437</v>
      </c>
      <c r="AY43">
        <f t="shared" si="16"/>
        <v>36.218241904286437</v>
      </c>
      <c r="AZ43">
        <f t="shared" si="16"/>
        <v>36.218241904286437</v>
      </c>
      <c r="BA43">
        <f t="shared" si="17"/>
        <v>-0.69692957242130027</v>
      </c>
      <c r="BB43">
        <f t="shared" si="17"/>
        <v>-0.61110139690673437</v>
      </c>
      <c r="BC43">
        <f t="shared" si="17"/>
        <v>-0.48473351987903324</v>
      </c>
      <c r="BD43">
        <f t="shared" si="17"/>
        <v>-0.31865745063595635</v>
      </c>
      <c r="BE43">
        <f t="shared" si="17"/>
        <v>-0.17736097812734117</v>
      </c>
      <c r="BF43">
        <f t="shared" si="17"/>
        <v>-0.10398073321114004</v>
      </c>
      <c r="BG43">
        <f t="shared" si="17"/>
        <v>-0.13239681106071066</v>
      </c>
      <c r="BH43">
        <f t="shared" si="17"/>
        <v>-0.25199386540732366</v>
      </c>
      <c r="BI43">
        <f t="shared" si="17"/>
        <v>-0.41606865943549493</v>
      </c>
      <c r="BJ43">
        <f t="shared" si="17"/>
        <v>-0.56607423476973218</v>
      </c>
      <c r="BK43">
        <f t="shared" si="17"/>
        <v>-0.67385284105526577</v>
      </c>
      <c r="BL43">
        <f t="shared" si="17"/>
        <v>-0.71715811164142962</v>
      </c>
      <c r="BM43" s="180">
        <f t="shared" si="18"/>
        <v>6.1257422745431001E-17</v>
      </c>
      <c r="BN43" s="180">
        <f t="shared" si="18"/>
        <v>6.1257422745431001E-17</v>
      </c>
      <c r="BO43" s="180">
        <f t="shared" si="18"/>
        <v>6.1257422745431001E-17</v>
      </c>
      <c r="BP43" s="180">
        <f t="shared" si="18"/>
        <v>6.1257422745431001E-17</v>
      </c>
      <c r="BQ43" s="180">
        <f t="shared" si="18"/>
        <v>6.1257422745431001E-17</v>
      </c>
      <c r="BR43" s="180">
        <f t="shared" si="18"/>
        <v>6.1257422745431001E-17</v>
      </c>
      <c r="BS43" s="180">
        <f t="shared" si="18"/>
        <v>6.1257422745431001E-17</v>
      </c>
      <c r="BT43" s="180">
        <f t="shared" si="18"/>
        <v>6.1257422745431001E-17</v>
      </c>
      <c r="BU43" s="180">
        <f t="shared" si="18"/>
        <v>6.1257422745431001E-17</v>
      </c>
      <c r="BV43" s="180">
        <f t="shared" si="18"/>
        <v>6.1257422745431001E-17</v>
      </c>
      <c r="BW43" s="180">
        <f t="shared" si="18"/>
        <v>6.1257422745431001E-17</v>
      </c>
      <c r="BX43" s="180">
        <f t="shared" si="18"/>
        <v>6.1257422745431001E-17</v>
      </c>
      <c r="BY43" s="180">
        <f t="shared" si="19"/>
        <v>0</v>
      </c>
      <c r="BZ43" s="180">
        <f t="shared" si="19"/>
        <v>0</v>
      </c>
      <c r="CA43" s="180">
        <f t="shared" si="19"/>
        <v>0</v>
      </c>
      <c r="CB43" s="180">
        <f t="shared" si="19"/>
        <v>0</v>
      </c>
      <c r="CC43" s="180">
        <f t="shared" si="19"/>
        <v>0</v>
      </c>
      <c r="CD43" s="180">
        <f t="shared" si="19"/>
        <v>0</v>
      </c>
      <c r="CE43" s="180">
        <f t="shared" si="19"/>
        <v>0</v>
      </c>
      <c r="CF43" s="180">
        <f t="shared" si="19"/>
        <v>0</v>
      </c>
      <c r="CG43" s="180">
        <f t="shared" si="19"/>
        <v>0</v>
      </c>
      <c r="CH43" s="180">
        <f t="shared" si="19"/>
        <v>0</v>
      </c>
      <c r="CI43" s="180">
        <f t="shared" si="19"/>
        <v>0</v>
      </c>
      <c r="CJ43" s="180">
        <f t="shared" si="19"/>
        <v>0</v>
      </c>
      <c r="CK43">
        <f t="shared" si="20"/>
        <v>20.284401274960064</v>
      </c>
      <c r="CL43">
        <f t="shared" si="20"/>
        <v>17.360767793289341</v>
      </c>
      <c r="CM43">
        <f t="shared" si="20"/>
        <v>14.011696302994885</v>
      </c>
      <c r="CN43">
        <f t="shared" si="20"/>
        <v>11.262778892975057</v>
      </c>
      <c r="CO43">
        <f t="shared" si="20"/>
        <v>9.5763194555329676</v>
      </c>
      <c r="CP43">
        <f t="shared" si="20"/>
        <v>8.9896155224652983</v>
      </c>
      <c r="CQ43">
        <f t="shared" si="20"/>
        <v>9.4828169458475475</v>
      </c>
      <c r="CR43">
        <f t="shared" si="20"/>
        <v>11.080671937144006</v>
      </c>
      <c r="CS43">
        <f t="shared" si="20"/>
        <v>13.75504659234451</v>
      </c>
      <c r="CT43">
        <f t="shared" si="20"/>
        <v>17.103383011798549</v>
      </c>
      <c r="CU43">
        <f t="shared" si="20"/>
        <v>20.112939786998474</v>
      </c>
      <c r="CV43">
        <f t="shared" si="20"/>
        <v>21.403786013982739</v>
      </c>
      <c r="CW43">
        <f t="shared" si="21"/>
        <v>0</v>
      </c>
      <c r="CX43">
        <f t="shared" si="21"/>
        <v>0</v>
      </c>
      <c r="CY43">
        <f t="shared" si="21"/>
        <v>0</v>
      </c>
      <c r="CZ43">
        <f t="shared" si="21"/>
        <v>0</v>
      </c>
      <c r="DA43">
        <f t="shared" si="21"/>
        <v>0</v>
      </c>
      <c r="DB43">
        <f t="shared" si="21"/>
        <v>0</v>
      </c>
      <c r="DC43">
        <f t="shared" si="21"/>
        <v>0</v>
      </c>
      <c r="DD43">
        <f t="shared" si="21"/>
        <v>0</v>
      </c>
      <c r="DE43">
        <f t="shared" si="21"/>
        <v>0</v>
      </c>
      <c r="DF43">
        <f t="shared" si="21"/>
        <v>0</v>
      </c>
      <c r="DG43">
        <f t="shared" si="21"/>
        <v>0</v>
      </c>
      <c r="DH43">
        <f t="shared" si="21"/>
        <v>0</v>
      </c>
      <c r="DI43">
        <f t="shared" si="22"/>
        <v>0</v>
      </c>
      <c r="DJ43">
        <f t="shared" si="22"/>
        <v>0</v>
      </c>
      <c r="DK43">
        <f t="shared" si="22"/>
        <v>0</v>
      </c>
      <c r="DL43">
        <f t="shared" si="22"/>
        <v>0</v>
      </c>
      <c r="DM43">
        <f t="shared" si="22"/>
        <v>0</v>
      </c>
      <c r="DN43">
        <f t="shared" si="22"/>
        <v>0</v>
      </c>
      <c r="DO43">
        <f t="shared" si="22"/>
        <v>0</v>
      </c>
      <c r="DP43">
        <f t="shared" si="22"/>
        <v>0</v>
      </c>
      <c r="DQ43">
        <f t="shared" si="22"/>
        <v>0</v>
      </c>
      <c r="DR43">
        <f t="shared" si="22"/>
        <v>0</v>
      </c>
      <c r="DS43">
        <f t="shared" si="22"/>
        <v>0</v>
      </c>
      <c r="DT43">
        <f t="shared" si="22"/>
        <v>0</v>
      </c>
      <c r="DU43">
        <f t="shared" si="23"/>
        <v>0</v>
      </c>
      <c r="DV43">
        <f t="shared" si="23"/>
        <v>0</v>
      </c>
      <c r="DW43">
        <f t="shared" si="23"/>
        <v>0</v>
      </c>
      <c r="DX43">
        <f t="shared" si="23"/>
        <v>0</v>
      </c>
      <c r="DY43">
        <f t="shared" si="23"/>
        <v>0</v>
      </c>
      <c r="DZ43">
        <f t="shared" si="23"/>
        <v>0</v>
      </c>
      <c r="EA43">
        <f t="shared" si="23"/>
        <v>0</v>
      </c>
      <c r="EB43">
        <f t="shared" si="23"/>
        <v>0</v>
      </c>
      <c r="EC43">
        <f t="shared" si="23"/>
        <v>0</v>
      </c>
      <c r="ED43">
        <f t="shared" si="23"/>
        <v>0</v>
      </c>
      <c r="EE43">
        <f t="shared" si="23"/>
        <v>0</v>
      </c>
      <c r="EF43">
        <f t="shared" si="23"/>
        <v>0</v>
      </c>
      <c r="EG43">
        <f t="shared" si="24"/>
        <v>0</v>
      </c>
      <c r="EH43">
        <f t="shared" si="24"/>
        <v>0</v>
      </c>
      <c r="EI43">
        <f t="shared" si="24"/>
        <v>0</v>
      </c>
      <c r="EJ43">
        <f t="shared" si="24"/>
        <v>0</v>
      </c>
      <c r="EK43">
        <f t="shared" si="24"/>
        <v>0</v>
      </c>
      <c r="EL43">
        <f t="shared" si="24"/>
        <v>0</v>
      </c>
      <c r="EM43">
        <f t="shared" si="24"/>
        <v>0</v>
      </c>
      <c r="EN43">
        <f t="shared" si="24"/>
        <v>0</v>
      </c>
      <c r="EO43">
        <f t="shared" si="24"/>
        <v>0</v>
      </c>
      <c r="EP43">
        <f t="shared" si="24"/>
        <v>0</v>
      </c>
      <c r="EQ43">
        <f t="shared" si="24"/>
        <v>0</v>
      </c>
      <c r="ER43">
        <f t="shared" si="24"/>
        <v>0</v>
      </c>
    </row>
    <row r="44" spans="2:148" x14ac:dyDescent="0.2">
      <c r="B44" s="179">
        <v>0.16666666666666699</v>
      </c>
      <c r="C44">
        <f t="shared" si="26"/>
        <v>120</v>
      </c>
      <c r="D44">
        <f t="shared" si="25"/>
        <v>2.0943951023931953</v>
      </c>
      <c r="E44">
        <f t="shared" si="13"/>
        <v>0</v>
      </c>
      <c r="F44">
        <f t="shared" si="13"/>
        <v>0</v>
      </c>
      <c r="G44">
        <f t="shared" si="13"/>
        <v>0</v>
      </c>
      <c r="H44">
        <f t="shared" si="13"/>
        <v>0</v>
      </c>
      <c r="I44">
        <f t="shared" si="13"/>
        <v>0</v>
      </c>
      <c r="J44">
        <f t="shared" si="13"/>
        <v>0.91642820291055216</v>
      </c>
      <c r="K44">
        <f t="shared" si="13"/>
        <v>0</v>
      </c>
      <c r="L44">
        <f t="shared" si="13"/>
        <v>0</v>
      </c>
      <c r="M44">
        <f t="shared" si="13"/>
        <v>0</v>
      </c>
      <c r="N44">
        <f t="shared" si="13"/>
        <v>0</v>
      </c>
      <c r="O44">
        <f t="shared" si="13"/>
        <v>0</v>
      </c>
      <c r="P44">
        <f t="shared" si="13"/>
        <v>0</v>
      </c>
      <c r="Q44">
        <f t="shared" si="14"/>
        <v>3.1156564804798061</v>
      </c>
      <c r="R44">
        <f t="shared" si="14"/>
        <v>3.2239999999999998</v>
      </c>
      <c r="S44">
        <f t="shared" si="14"/>
        <v>3.3719999999999999</v>
      </c>
      <c r="T44">
        <f t="shared" si="14"/>
        <v>3.52</v>
      </c>
      <c r="U44">
        <f t="shared" si="14"/>
        <v>3.6283435195201936</v>
      </c>
      <c r="V44">
        <f t="shared" si="14"/>
        <v>3.6688477185434425</v>
      </c>
      <c r="W44">
        <f t="shared" si="14"/>
        <v>3.6283435195201936</v>
      </c>
      <c r="X44">
        <f t="shared" si="14"/>
        <v>3.52</v>
      </c>
      <c r="Y44">
        <f t="shared" si="14"/>
        <v>3.3719999999999999</v>
      </c>
      <c r="Z44">
        <f t="shared" si="14"/>
        <v>3.2239999999999998</v>
      </c>
      <c r="AA44">
        <f t="shared" si="14"/>
        <v>3.1156564804798061</v>
      </c>
      <c r="AB44">
        <f t="shared" si="14"/>
        <v>3.0760000000000001</v>
      </c>
      <c r="AC44">
        <f t="shared" si="15"/>
        <v>3.7499999999999881E-2</v>
      </c>
      <c r="AD44">
        <f t="shared" si="15"/>
        <v>3.7499999999999881E-2</v>
      </c>
      <c r="AE44">
        <f t="shared" si="15"/>
        <v>3.7499999999999881E-2</v>
      </c>
      <c r="AF44">
        <f t="shared" si="15"/>
        <v>3.7499999999999881E-2</v>
      </c>
      <c r="AG44">
        <f t="shared" si="15"/>
        <v>3.7499999999999881E-2</v>
      </c>
      <c r="AH44">
        <f t="shared" si="15"/>
        <v>4.1118472597313958E-2</v>
      </c>
      <c r="AI44">
        <f t="shared" si="15"/>
        <v>3.7499999999999881E-2</v>
      </c>
      <c r="AJ44">
        <f t="shared" si="15"/>
        <v>3.7499999999999881E-2</v>
      </c>
      <c r="AK44">
        <f t="shared" si="15"/>
        <v>3.7499999999999881E-2</v>
      </c>
      <c r="AL44">
        <f t="shared" si="15"/>
        <v>3.7499999999999881E-2</v>
      </c>
      <c r="AM44">
        <f t="shared" si="15"/>
        <v>3.7499999999999881E-2</v>
      </c>
      <c r="AN44">
        <f t="shared" si="15"/>
        <v>3.7499999999999881E-2</v>
      </c>
      <c r="AO44">
        <f t="shared" si="16"/>
        <v>36.218241904286437</v>
      </c>
      <c r="AP44">
        <f t="shared" si="16"/>
        <v>36.218241904286437</v>
      </c>
      <c r="AQ44">
        <f t="shared" si="16"/>
        <v>36.218241904286437</v>
      </c>
      <c r="AR44">
        <f t="shared" si="16"/>
        <v>36.218241904286437</v>
      </c>
      <c r="AS44">
        <f t="shared" si="16"/>
        <v>36.218241904286437</v>
      </c>
      <c r="AT44">
        <f t="shared" si="16"/>
        <v>22.940192776728061</v>
      </c>
      <c r="AU44">
        <f t="shared" si="16"/>
        <v>36.218241904286437</v>
      </c>
      <c r="AV44">
        <f t="shared" si="16"/>
        <v>36.218241904286437</v>
      </c>
      <c r="AW44">
        <f t="shared" si="16"/>
        <v>36.218241904286437</v>
      </c>
      <c r="AX44">
        <f t="shared" si="16"/>
        <v>36.218241904286437</v>
      </c>
      <c r="AY44">
        <f t="shared" si="16"/>
        <v>36.218241904286437</v>
      </c>
      <c r="AZ44">
        <f t="shared" si="16"/>
        <v>36.218241904286437</v>
      </c>
      <c r="BA44">
        <f t="shared" si="17"/>
        <v>-0.57489826264174493</v>
      </c>
      <c r="BB44">
        <f t="shared" si="17"/>
        <v>-0.48362464258526416</v>
      </c>
      <c r="BC44">
        <f t="shared" si="17"/>
        <v>-0.35400272686030249</v>
      </c>
      <c r="BD44">
        <f t="shared" si="17"/>
        <v>-0.189414303665842</v>
      </c>
      <c r="BE44">
        <f t="shared" si="17"/>
        <v>-5.3258408689822873E-2</v>
      </c>
      <c r="BF44">
        <f t="shared" si="17"/>
        <v>1.6240892256840167E-2</v>
      </c>
      <c r="BG44">
        <f t="shared" si="17"/>
        <v>-1.057842935416986E-2</v>
      </c>
      <c r="BH44">
        <f t="shared" si="17"/>
        <v>-0.12477718385329889</v>
      </c>
      <c r="BI44">
        <f t="shared" si="17"/>
        <v>-0.28527842356789501</v>
      </c>
      <c r="BJ44">
        <f t="shared" si="17"/>
        <v>-0.43689754412141013</v>
      </c>
      <c r="BK44">
        <f t="shared" si="17"/>
        <v>-0.55001971709760711</v>
      </c>
      <c r="BL44">
        <f t="shared" si="17"/>
        <v>-0.59695722545770469</v>
      </c>
      <c r="BM44" s="180">
        <f t="shared" si="18"/>
        <v>6.1257422745431001E-17</v>
      </c>
      <c r="BN44" s="180">
        <f t="shared" si="18"/>
        <v>6.1257422745431001E-17</v>
      </c>
      <c r="BO44" s="180">
        <f t="shared" si="18"/>
        <v>6.1257422745431001E-17</v>
      </c>
      <c r="BP44" s="180">
        <f t="shared" si="18"/>
        <v>6.1257422745431001E-17</v>
      </c>
      <c r="BQ44" s="180">
        <f t="shared" si="18"/>
        <v>6.1257422745431001E-17</v>
      </c>
      <c r="BR44" s="180">
        <f t="shared" si="18"/>
        <v>1.5994007520499332E-2</v>
      </c>
      <c r="BS44" s="180">
        <f t="shared" si="18"/>
        <v>6.1257422745431001E-17</v>
      </c>
      <c r="BT44" s="180">
        <f t="shared" si="18"/>
        <v>6.1257422745431001E-17</v>
      </c>
      <c r="BU44" s="180">
        <f t="shared" si="18"/>
        <v>6.1257422745431001E-17</v>
      </c>
      <c r="BV44" s="180">
        <f t="shared" si="18"/>
        <v>6.1257422745431001E-17</v>
      </c>
      <c r="BW44" s="180">
        <f t="shared" si="18"/>
        <v>6.1257422745431001E-17</v>
      </c>
      <c r="BX44" s="180">
        <f t="shared" si="18"/>
        <v>6.1257422745431001E-17</v>
      </c>
      <c r="BY44" s="180">
        <f t="shared" si="19"/>
        <v>0</v>
      </c>
      <c r="BZ44" s="180">
        <f t="shared" si="19"/>
        <v>0</v>
      </c>
      <c r="CA44" s="180">
        <f t="shared" si="19"/>
        <v>0</v>
      </c>
      <c r="CB44" s="180">
        <f t="shared" si="19"/>
        <v>0</v>
      </c>
      <c r="CC44" s="180">
        <f t="shared" si="19"/>
        <v>0</v>
      </c>
      <c r="CD44" s="180">
        <f t="shared" si="19"/>
        <v>1.5994007520499332E-2</v>
      </c>
      <c r="CE44" s="180">
        <f t="shared" si="19"/>
        <v>0</v>
      </c>
      <c r="CF44" s="180">
        <f t="shared" si="19"/>
        <v>0</v>
      </c>
      <c r="CG44" s="180">
        <f t="shared" si="19"/>
        <v>0</v>
      </c>
      <c r="CH44" s="180">
        <f t="shared" si="19"/>
        <v>0</v>
      </c>
      <c r="CI44" s="180">
        <f t="shared" si="19"/>
        <v>0</v>
      </c>
      <c r="CJ44" s="180">
        <f t="shared" si="19"/>
        <v>0</v>
      </c>
      <c r="CK44">
        <f t="shared" si="20"/>
        <v>20.284401274960064</v>
      </c>
      <c r="CL44">
        <f t="shared" si="20"/>
        <v>17.360767793289341</v>
      </c>
      <c r="CM44">
        <f t="shared" si="20"/>
        <v>14.011696302994885</v>
      </c>
      <c r="CN44">
        <f t="shared" si="20"/>
        <v>11.262778892975057</v>
      </c>
      <c r="CO44">
        <f t="shared" si="20"/>
        <v>9.5763194555329676</v>
      </c>
      <c r="CP44">
        <f t="shared" si="20"/>
        <v>41.148648635217953</v>
      </c>
      <c r="CQ44">
        <f t="shared" si="20"/>
        <v>9.4828169458475475</v>
      </c>
      <c r="CR44">
        <f t="shared" si="20"/>
        <v>11.080671937144006</v>
      </c>
      <c r="CS44">
        <f t="shared" si="20"/>
        <v>13.75504659234451</v>
      </c>
      <c r="CT44">
        <f t="shared" si="20"/>
        <v>17.103383011798549</v>
      </c>
      <c r="CU44">
        <f t="shared" si="20"/>
        <v>20.112939786998474</v>
      </c>
      <c r="CV44">
        <f t="shared" si="20"/>
        <v>21.403786013982739</v>
      </c>
      <c r="CW44">
        <f t="shared" si="21"/>
        <v>0</v>
      </c>
      <c r="CX44">
        <f t="shared" si="21"/>
        <v>0</v>
      </c>
      <c r="CY44">
        <f t="shared" si="21"/>
        <v>0</v>
      </c>
      <c r="CZ44">
        <f t="shared" si="21"/>
        <v>0</v>
      </c>
      <c r="DA44">
        <f t="shared" si="21"/>
        <v>0</v>
      </c>
      <c r="DB44">
        <f t="shared" si="21"/>
        <v>1</v>
      </c>
      <c r="DC44">
        <f t="shared" si="21"/>
        <v>0</v>
      </c>
      <c r="DD44">
        <f t="shared" si="21"/>
        <v>0</v>
      </c>
      <c r="DE44">
        <f t="shared" si="21"/>
        <v>0</v>
      </c>
      <c r="DF44">
        <f t="shared" si="21"/>
        <v>0</v>
      </c>
      <c r="DG44">
        <f t="shared" si="21"/>
        <v>0</v>
      </c>
      <c r="DH44">
        <f t="shared" si="21"/>
        <v>0</v>
      </c>
      <c r="DI44">
        <f t="shared" si="22"/>
        <v>0</v>
      </c>
      <c r="DJ44">
        <f t="shared" si="22"/>
        <v>0</v>
      </c>
      <c r="DK44">
        <f t="shared" si="22"/>
        <v>0</v>
      </c>
      <c r="DL44">
        <f t="shared" si="22"/>
        <v>0</v>
      </c>
      <c r="DM44">
        <f t="shared" si="22"/>
        <v>0</v>
      </c>
      <c r="DN44">
        <f t="shared" si="22"/>
        <v>1</v>
      </c>
      <c r="DO44">
        <f t="shared" si="22"/>
        <v>0</v>
      </c>
      <c r="DP44">
        <f t="shared" si="22"/>
        <v>0</v>
      </c>
      <c r="DQ44">
        <f t="shared" si="22"/>
        <v>0</v>
      </c>
      <c r="DR44">
        <f t="shared" si="22"/>
        <v>0</v>
      </c>
      <c r="DS44">
        <f t="shared" si="22"/>
        <v>0</v>
      </c>
      <c r="DT44">
        <f t="shared" si="22"/>
        <v>0</v>
      </c>
      <c r="DU44">
        <f t="shared" si="23"/>
        <v>0</v>
      </c>
      <c r="DV44">
        <f t="shared" si="23"/>
        <v>0</v>
      </c>
      <c r="DW44">
        <f t="shared" si="23"/>
        <v>0</v>
      </c>
      <c r="DX44">
        <f t="shared" si="23"/>
        <v>0</v>
      </c>
      <c r="DY44">
        <f t="shared" si="23"/>
        <v>0</v>
      </c>
      <c r="DZ44">
        <f t="shared" si="23"/>
        <v>10.02436153498722</v>
      </c>
      <c r="EA44">
        <f t="shared" si="23"/>
        <v>0</v>
      </c>
      <c r="EB44">
        <f t="shared" si="23"/>
        <v>0</v>
      </c>
      <c r="EC44">
        <f t="shared" si="23"/>
        <v>0</v>
      </c>
      <c r="ED44">
        <f t="shared" si="23"/>
        <v>0</v>
      </c>
      <c r="EE44">
        <f t="shared" si="23"/>
        <v>0</v>
      </c>
      <c r="EF44">
        <f t="shared" si="23"/>
        <v>0</v>
      </c>
      <c r="EG44">
        <f t="shared" si="24"/>
        <v>0</v>
      </c>
      <c r="EH44">
        <f t="shared" si="24"/>
        <v>0</v>
      </c>
      <c r="EI44">
        <f t="shared" si="24"/>
        <v>0</v>
      </c>
      <c r="EJ44">
        <f t="shared" si="24"/>
        <v>0</v>
      </c>
      <c r="EK44">
        <f t="shared" si="24"/>
        <v>0</v>
      </c>
      <c r="EL44">
        <f t="shared" si="24"/>
        <v>9.871976935950908</v>
      </c>
      <c r="EM44">
        <f t="shared" si="24"/>
        <v>0</v>
      </c>
      <c r="EN44">
        <f t="shared" si="24"/>
        <v>0</v>
      </c>
      <c r="EO44">
        <f t="shared" si="24"/>
        <v>0</v>
      </c>
      <c r="EP44">
        <f t="shared" si="24"/>
        <v>0</v>
      </c>
      <c r="EQ44">
        <f t="shared" si="24"/>
        <v>0</v>
      </c>
      <c r="ER44">
        <f t="shared" si="24"/>
        <v>0</v>
      </c>
    </row>
    <row r="45" spans="2:148" x14ac:dyDescent="0.2">
      <c r="B45" s="179">
        <v>0.20833333333333301</v>
      </c>
      <c r="C45">
        <f t="shared" si="26"/>
        <v>105</v>
      </c>
      <c r="D45">
        <f t="shared" si="25"/>
        <v>1.8325957145940461</v>
      </c>
      <c r="E45">
        <f t="shared" si="13"/>
        <v>0</v>
      </c>
      <c r="F45">
        <f t="shared" si="13"/>
        <v>0</v>
      </c>
      <c r="G45">
        <f t="shared" si="13"/>
        <v>0</v>
      </c>
      <c r="H45">
        <f t="shared" si="13"/>
        <v>0</v>
      </c>
      <c r="I45">
        <f t="shared" si="13"/>
        <v>5.2269351494818466</v>
      </c>
      <c r="J45">
        <f t="shared" si="13"/>
        <v>8.9783626913282006</v>
      </c>
      <c r="K45">
        <f t="shared" si="13"/>
        <v>7.5336725410334822</v>
      </c>
      <c r="L45">
        <f t="shared" si="13"/>
        <v>1.3310656742380473</v>
      </c>
      <c r="M45">
        <f t="shared" si="13"/>
        <v>0</v>
      </c>
      <c r="N45">
        <f t="shared" si="13"/>
        <v>0</v>
      </c>
      <c r="O45">
        <f t="shared" si="13"/>
        <v>0</v>
      </c>
      <c r="P45">
        <f t="shared" si="13"/>
        <v>0</v>
      </c>
      <c r="Q45">
        <f t="shared" si="14"/>
        <v>3.1156564804798061</v>
      </c>
      <c r="R45">
        <f t="shared" si="14"/>
        <v>3.2239999999999998</v>
      </c>
      <c r="S45">
        <f t="shared" si="14"/>
        <v>3.3719999999999999</v>
      </c>
      <c r="T45">
        <f t="shared" si="14"/>
        <v>3.52</v>
      </c>
      <c r="U45">
        <f t="shared" si="14"/>
        <v>3.6331785626119677</v>
      </c>
      <c r="V45">
        <f t="shared" si="14"/>
        <v>3.6763052054913001</v>
      </c>
      <c r="W45">
        <f t="shared" si="14"/>
        <v>3.6353123512224239</v>
      </c>
      <c r="X45">
        <f t="shared" si="14"/>
        <v>3.5212312683645139</v>
      </c>
      <c r="Y45">
        <f t="shared" si="14"/>
        <v>3.3719999999999999</v>
      </c>
      <c r="Z45">
        <f t="shared" si="14"/>
        <v>3.2239999999999998</v>
      </c>
      <c r="AA45">
        <f t="shared" si="14"/>
        <v>3.1156564804798061</v>
      </c>
      <c r="AB45">
        <f t="shared" si="14"/>
        <v>3.0760000000000001</v>
      </c>
      <c r="AC45">
        <f t="shared" si="15"/>
        <v>3.7499999999999881E-2</v>
      </c>
      <c r="AD45">
        <f t="shared" si="15"/>
        <v>3.7499999999999881E-2</v>
      </c>
      <c r="AE45">
        <f t="shared" si="15"/>
        <v>3.7499999999999881E-2</v>
      </c>
      <c r="AF45">
        <f t="shared" si="15"/>
        <v>3.7499999999999881E-2</v>
      </c>
      <c r="AG45">
        <f t="shared" si="15"/>
        <v>5.5943697512866764E-2</v>
      </c>
      <c r="AH45">
        <f t="shared" si="15"/>
        <v>6.6033551956569084E-2</v>
      </c>
      <c r="AI45">
        <f t="shared" si="15"/>
        <v>6.24422496645132E-2</v>
      </c>
      <c r="AJ45">
        <f t="shared" si="15"/>
        <v>4.2701350342899708E-2</v>
      </c>
      <c r="AK45">
        <f t="shared" si="15"/>
        <v>3.7499999999999881E-2</v>
      </c>
      <c r="AL45">
        <f t="shared" si="15"/>
        <v>3.7499999999999881E-2</v>
      </c>
      <c r="AM45">
        <f t="shared" si="15"/>
        <v>3.7499999999999881E-2</v>
      </c>
      <c r="AN45">
        <f t="shared" si="15"/>
        <v>3.7499999999999881E-2</v>
      </c>
      <c r="AO45">
        <f t="shared" si="16"/>
        <v>36.218241904286437</v>
      </c>
      <c r="AP45">
        <f t="shared" si="16"/>
        <v>36.218241904286437</v>
      </c>
      <c r="AQ45">
        <f t="shared" si="16"/>
        <v>36.218241904286437</v>
      </c>
      <c r="AR45">
        <f t="shared" si="16"/>
        <v>36.218241904286437</v>
      </c>
      <c r="AS45">
        <f t="shared" si="16"/>
        <v>8.4278374059653913</v>
      </c>
      <c r="AT45">
        <f t="shared" si="16"/>
        <v>5.4467496015082153</v>
      </c>
      <c r="AU45">
        <f t="shared" si="16"/>
        <v>6.3032334730694108</v>
      </c>
      <c r="AV45">
        <f t="shared" si="16"/>
        <v>19.676662241819919</v>
      </c>
      <c r="AW45">
        <f t="shared" si="16"/>
        <v>36.218241904286437</v>
      </c>
      <c r="AX45">
        <f t="shared" si="16"/>
        <v>36.218241904286437</v>
      </c>
      <c r="AY45">
        <f t="shared" si="16"/>
        <v>36.218241904286437</v>
      </c>
      <c r="AZ45">
        <f t="shared" si="16"/>
        <v>36.218241904286437</v>
      </c>
      <c r="BA45">
        <f t="shared" si="17"/>
        <v>-0.43278979255011041</v>
      </c>
      <c r="BB45">
        <f t="shared" si="17"/>
        <v>-0.33517481801486282</v>
      </c>
      <c r="BC45">
        <f t="shared" si="17"/>
        <v>-0.20176349396738102</v>
      </c>
      <c r="BD45">
        <f t="shared" si="17"/>
        <v>-3.8907471288727805E-2</v>
      </c>
      <c r="BE45">
        <f t="shared" si="17"/>
        <v>9.1262094360298807E-2</v>
      </c>
      <c r="BF45">
        <f t="shared" si="17"/>
        <v>0.15624194033250732</v>
      </c>
      <c r="BG45">
        <f t="shared" si="17"/>
        <v>0.1312820807446537</v>
      </c>
      <c r="BH45">
        <f t="shared" si="17"/>
        <v>2.3369779564821669E-2</v>
      </c>
      <c r="BI45">
        <f t="shared" si="17"/>
        <v>-0.13296996801133137</v>
      </c>
      <c r="BJ45">
        <f t="shared" si="17"/>
        <v>-0.2864681017701417</v>
      </c>
      <c r="BK45">
        <f t="shared" si="17"/>
        <v>-0.40581298995454668</v>
      </c>
      <c r="BL45">
        <f t="shared" si="17"/>
        <v>-0.45698032879007894</v>
      </c>
      <c r="BM45" s="180">
        <f t="shared" si="18"/>
        <v>6.1257422745431001E-17</v>
      </c>
      <c r="BN45" s="180">
        <f t="shared" si="18"/>
        <v>6.1257422745431001E-17</v>
      </c>
      <c r="BO45" s="180">
        <f t="shared" si="18"/>
        <v>6.1257422745431001E-17</v>
      </c>
      <c r="BP45" s="180">
        <f t="shared" si="18"/>
        <v>6.1257422745431001E-17</v>
      </c>
      <c r="BQ45" s="180">
        <f t="shared" si="18"/>
        <v>9.1100742435385573E-2</v>
      </c>
      <c r="BR45" s="180">
        <f t="shared" si="18"/>
        <v>0.15606146101975399</v>
      </c>
      <c r="BS45" s="180">
        <f t="shared" si="18"/>
        <v>0.13110883852719402</v>
      </c>
      <c r="BT45" s="180">
        <f t="shared" si="18"/>
        <v>2.3229388954440999E-2</v>
      </c>
      <c r="BU45" s="180">
        <f t="shared" si="18"/>
        <v>6.1257422745431001E-17</v>
      </c>
      <c r="BV45" s="180">
        <f t="shared" si="18"/>
        <v>6.1257422745431001E-17</v>
      </c>
      <c r="BW45" s="180">
        <f t="shared" si="18"/>
        <v>6.1257422745431001E-17</v>
      </c>
      <c r="BX45" s="180">
        <f t="shared" si="18"/>
        <v>6.1257422745431001E-17</v>
      </c>
      <c r="BY45" s="180">
        <f t="shared" si="19"/>
        <v>0</v>
      </c>
      <c r="BZ45" s="180">
        <f t="shared" si="19"/>
        <v>0</v>
      </c>
      <c r="CA45" s="180">
        <f t="shared" si="19"/>
        <v>0</v>
      </c>
      <c r="CB45" s="180">
        <f t="shared" si="19"/>
        <v>0</v>
      </c>
      <c r="CC45" s="180">
        <f t="shared" si="19"/>
        <v>9.1100742435385573E-2</v>
      </c>
      <c r="CD45" s="180">
        <f t="shared" si="19"/>
        <v>0.15606146101975399</v>
      </c>
      <c r="CE45" s="180">
        <f t="shared" si="19"/>
        <v>0.13110883852719402</v>
      </c>
      <c r="CF45" s="180">
        <f t="shared" si="19"/>
        <v>2.3229388954440999E-2</v>
      </c>
      <c r="CG45" s="180">
        <f t="shared" si="19"/>
        <v>0</v>
      </c>
      <c r="CH45" s="180">
        <f t="shared" si="19"/>
        <v>0</v>
      </c>
      <c r="CI45" s="180">
        <f t="shared" si="19"/>
        <v>0</v>
      </c>
      <c r="CJ45" s="180">
        <f t="shared" si="19"/>
        <v>0</v>
      </c>
      <c r="CK45">
        <f t="shared" si="20"/>
        <v>20.284401274960064</v>
      </c>
      <c r="CL45">
        <f t="shared" si="20"/>
        <v>17.360767793289341</v>
      </c>
      <c r="CM45">
        <f t="shared" si="20"/>
        <v>14.011696302994885</v>
      </c>
      <c r="CN45">
        <f t="shared" si="20"/>
        <v>11.262778892975057</v>
      </c>
      <c r="CO45">
        <f t="shared" si="20"/>
        <v>238.47506027903634</v>
      </c>
      <c r="CP45">
        <f t="shared" si="20"/>
        <v>349.19799927927579</v>
      </c>
      <c r="CQ45">
        <f t="shared" si="20"/>
        <v>313.13180060085261</v>
      </c>
      <c r="CR45">
        <f t="shared" si="20"/>
        <v>68.538878238209023</v>
      </c>
      <c r="CS45">
        <f t="shared" si="20"/>
        <v>13.75504659234451</v>
      </c>
      <c r="CT45">
        <f t="shared" si="20"/>
        <v>17.103383011798549</v>
      </c>
      <c r="CU45">
        <f t="shared" si="20"/>
        <v>20.112939786998474</v>
      </c>
      <c r="CV45">
        <f t="shared" si="20"/>
        <v>21.403786013982739</v>
      </c>
      <c r="CW45">
        <f t="shared" si="21"/>
        <v>0</v>
      </c>
      <c r="CX45">
        <f t="shared" si="21"/>
        <v>0</v>
      </c>
      <c r="CY45">
        <f t="shared" si="21"/>
        <v>0</v>
      </c>
      <c r="CZ45">
        <f t="shared" si="21"/>
        <v>0</v>
      </c>
      <c r="DA45">
        <f t="shared" si="21"/>
        <v>1</v>
      </c>
      <c r="DB45">
        <f t="shared" si="21"/>
        <v>1</v>
      </c>
      <c r="DC45">
        <f t="shared" si="21"/>
        <v>1</v>
      </c>
      <c r="DD45">
        <f t="shared" si="21"/>
        <v>1</v>
      </c>
      <c r="DE45">
        <f t="shared" si="21"/>
        <v>0</v>
      </c>
      <c r="DF45">
        <f t="shared" si="21"/>
        <v>0</v>
      </c>
      <c r="DG45">
        <f t="shared" si="21"/>
        <v>0</v>
      </c>
      <c r="DH45">
        <f t="shared" si="21"/>
        <v>0</v>
      </c>
      <c r="DI45">
        <f t="shared" si="22"/>
        <v>0</v>
      </c>
      <c r="DJ45">
        <f t="shared" si="22"/>
        <v>0</v>
      </c>
      <c r="DK45">
        <f t="shared" si="22"/>
        <v>0</v>
      </c>
      <c r="DL45">
        <f t="shared" si="22"/>
        <v>0</v>
      </c>
      <c r="DM45">
        <f t="shared" si="22"/>
        <v>1</v>
      </c>
      <c r="DN45">
        <f t="shared" si="22"/>
        <v>1</v>
      </c>
      <c r="DO45">
        <f t="shared" si="22"/>
        <v>1</v>
      </c>
      <c r="DP45">
        <f t="shared" si="22"/>
        <v>1</v>
      </c>
      <c r="DQ45">
        <f t="shared" si="22"/>
        <v>0</v>
      </c>
      <c r="DR45">
        <f t="shared" si="22"/>
        <v>0</v>
      </c>
      <c r="DS45">
        <f t="shared" si="22"/>
        <v>0</v>
      </c>
      <c r="DT45">
        <f t="shared" si="22"/>
        <v>0</v>
      </c>
      <c r="DU45">
        <f t="shared" si="23"/>
        <v>0</v>
      </c>
      <c r="DV45">
        <f t="shared" si="23"/>
        <v>0</v>
      </c>
      <c r="DW45">
        <f t="shared" si="23"/>
        <v>0</v>
      </c>
      <c r="DX45">
        <f t="shared" si="23"/>
        <v>0</v>
      </c>
      <c r="DY45">
        <f t="shared" si="23"/>
        <v>326.45600180645044</v>
      </c>
      <c r="DZ45">
        <f t="shared" si="23"/>
        <v>818.39059451435321</v>
      </c>
      <c r="EA45">
        <f t="shared" si="23"/>
        <v>616.62891495299903</v>
      </c>
      <c r="EB45">
        <f t="shared" si="23"/>
        <v>24.026077140706469</v>
      </c>
      <c r="EC45">
        <f t="shared" si="23"/>
        <v>0</v>
      </c>
      <c r="ED45">
        <f t="shared" si="23"/>
        <v>0</v>
      </c>
      <c r="EE45">
        <f t="shared" si="23"/>
        <v>0</v>
      </c>
      <c r="EF45">
        <f t="shared" si="23"/>
        <v>0</v>
      </c>
      <c r="EG45">
        <f t="shared" si="24"/>
        <v>0</v>
      </c>
      <c r="EH45">
        <f t="shared" si="24"/>
        <v>0</v>
      </c>
      <c r="EI45">
        <f t="shared" si="24"/>
        <v>0</v>
      </c>
      <c r="EJ45">
        <f t="shared" si="24"/>
        <v>0</v>
      </c>
      <c r="EK45">
        <f t="shared" si="24"/>
        <v>325.87882565615308</v>
      </c>
      <c r="EL45">
        <f t="shared" si="24"/>
        <v>817.44524929048168</v>
      </c>
      <c r="EM45">
        <f t="shared" si="24"/>
        <v>615.81520024060046</v>
      </c>
      <c r="EN45">
        <f t="shared" si="24"/>
        <v>23.881743916446439</v>
      </c>
      <c r="EO45">
        <f t="shared" si="24"/>
        <v>0</v>
      </c>
      <c r="EP45">
        <f t="shared" si="24"/>
        <v>0</v>
      </c>
      <c r="EQ45">
        <f t="shared" si="24"/>
        <v>0</v>
      </c>
      <c r="ER45">
        <f t="shared" si="24"/>
        <v>0</v>
      </c>
    </row>
    <row r="46" spans="2:148" x14ac:dyDescent="0.2">
      <c r="B46" s="179">
        <v>0.25</v>
      </c>
      <c r="C46">
        <f t="shared" si="26"/>
        <v>90</v>
      </c>
      <c r="D46">
        <f t="shared" si="25"/>
        <v>1.5707963267948966</v>
      </c>
      <c r="E46">
        <f t="shared" si="13"/>
        <v>0</v>
      </c>
      <c r="F46">
        <f t="shared" si="13"/>
        <v>0</v>
      </c>
      <c r="G46">
        <f t="shared" si="13"/>
        <v>0</v>
      </c>
      <c r="H46">
        <f t="shared" si="13"/>
        <v>7.0400185402133246</v>
      </c>
      <c r="I46">
        <f t="shared" si="13"/>
        <v>14.256539057243145</v>
      </c>
      <c r="J46">
        <f t="shared" si="13"/>
        <v>17.840747038018534</v>
      </c>
      <c r="K46">
        <f t="shared" si="13"/>
        <v>16.464196054642912</v>
      </c>
      <c r="L46">
        <f t="shared" si="13"/>
        <v>10.502945416347544</v>
      </c>
      <c r="M46">
        <f t="shared" si="13"/>
        <v>1.7458592365885153</v>
      </c>
      <c r="N46">
        <f t="shared" si="13"/>
        <v>0</v>
      </c>
      <c r="O46">
        <f t="shared" si="13"/>
        <v>0</v>
      </c>
      <c r="P46">
        <f t="shared" si="13"/>
        <v>0</v>
      </c>
      <c r="Q46">
        <f t="shared" si="14"/>
        <v>3.1156564804798061</v>
      </c>
      <c r="R46">
        <f t="shared" si="14"/>
        <v>3.2239999999999998</v>
      </c>
      <c r="S46">
        <f t="shared" si="14"/>
        <v>3.3719999999999999</v>
      </c>
      <c r="T46">
        <f t="shared" si="14"/>
        <v>3.5265121896551928</v>
      </c>
      <c r="U46">
        <f t="shared" si="14"/>
        <v>3.6415311674840609</v>
      </c>
      <c r="V46">
        <f t="shared" si="14"/>
        <v>3.6845031281719289</v>
      </c>
      <c r="W46">
        <f t="shared" si="14"/>
        <v>3.6435733043021048</v>
      </c>
      <c r="X46">
        <f t="shared" si="14"/>
        <v>3.5297154818696432</v>
      </c>
      <c r="Y46">
        <f t="shared" si="14"/>
        <v>3.3736149625736056</v>
      </c>
      <c r="Z46">
        <f t="shared" si="14"/>
        <v>3.2239999999999998</v>
      </c>
      <c r="AA46">
        <f t="shared" si="14"/>
        <v>3.1156564804798061</v>
      </c>
      <c r="AB46">
        <f t="shared" si="14"/>
        <v>3.0760000000000001</v>
      </c>
      <c r="AC46">
        <f t="shared" si="15"/>
        <v>3.7499999999999881E-2</v>
      </c>
      <c r="AD46">
        <f t="shared" si="15"/>
        <v>3.7499999999999881E-2</v>
      </c>
      <c r="AE46">
        <f t="shared" si="15"/>
        <v>3.7499999999999881E-2</v>
      </c>
      <c r="AF46">
        <f t="shared" si="15"/>
        <v>6.113207017040688E-2</v>
      </c>
      <c r="AG46">
        <f t="shared" si="15"/>
        <v>7.6339114833501864E-2</v>
      </c>
      <c r="AH46">
        <f t="shared" si="15"/>
        <v>8.1199359578791958E-2</v>
      </c>
      <c r="AI46">
        <f t="shared" si="15"/>
        <v>7.9508979505330563E-2</v>
      </c>
      <c r="AJ46">
        <f t="shared" si="15"/>
        <v>6.9445857725962234E-2</v>
      </c>
      <c r="AK46">
        <f t="shared" si="15"/>
        <v>4.4251054199385097E-2</v>
      </c>
      <c r="AL46">
        <f t="shared" si="15"/>
        <v>3.7499999999999881E-2</v>
      </c>
      <c r="AM46">
        <f t="shared" si="15"/>
        <v>3.7499999999999881E-2</v>
      </c>
      <c r="AN46">
        <f t="shared" si="15"/>
        <v>3.7499999999999881E-2</v>
      </c>
      <c r="AO46">
        <f t="shared" si="16"/>
        <v>36.218241904286437</v>
      </c>
      <c r="AP46">
        <f t="shared" si="16"/>
        <v>36.218241904286437</v>
      </c>
      <c r="AQ46">
        <f t="shared" si="16"/>
        <v>36.218241904286437</v>
      </c>
      <c r="AR46">
        <f t="shared" si="16"/>
        <v>6.6620082149217099</v>
      </c>
      <c r="AS46">
        <f t="shared" si="16"/>
        <v>3.6523808863517853</v>
      </c>
      <c r="AT46">
        <f t="shared" si="16"/>
        <v>2.9948102549761644</v>
      </c>
      <c r="AU46">
        <f t="shared" si="16"/>
        <v>3.215944806692892</v>
      </c>
      <c r="AV46">
        <f t="shared" si="16"/>
        <v>4.7660654019137407</v>
      </c>
      <c r="AW46">
        <f t="shared" si="16"/>
        <v>17.225519232211667</v>
      </c>
      <c r="AX46">
        <f t="shared" si="16"/>
        <v>36.218241904286437</v>
      </c>
      <c r="AY46">
        <f t="shared" si="16"/>
        <v>36.218241904286437</v>
      </c>
      <c r="AZ46">
        <f t="shared" si="16"/>
        <v>36.218241904286437</v>
      </c>
      <c r="BA46">
        <f t="shared" si="17"/>
        <v>-0.28028861953779027</v>
      </c>
      <c r="BB46">
        <f t="shared" si="17"/>
        <v>-0.17586853341506808</v>
      </c>
      <c r="BC46">
        <f t="shared" si="17"/>
        <v>-3.8390673334693141E-2</v>
      </c>
      <c r="BD46">
        <f t="shared" si="17"/>
        <v>0.122606254593187</v>
      </c>
      <c r="BE46">
        <f t="shared" si="17"/>
        <v>0.24635169757158226</v>
      </c>
      <c r="BF46">
        <f t="shared" si="17"/>
        <v>0.30648157095217637</v>
      </c>
      <c r="BG46">
        <f t="shared" si="17"/>
        <v>0.28351715990810317</v>
      </c>
      <c r="BH46">
        <f t="shared" si="17"/>
        <v>0.18235105411452643</v>
      </c>
      <c r="BI46">
        <f t="shared" si="17"/>
        <v>3.0477137689640381E-2</v>
      </c>
      <c r="BJ46">
        <f t="shared" si="17"/>
        <v>-0.12503742561575776</v>
      </c>
      <c r="BK46">
        <f t="shared" si="17"/>
        <v>-0.25106010976799914</v>
      </c>
      <c r="BL46">
        <f t="shared" si="17"/>
        <v>-0.30676661582369141</v>
      </c>
      <c r="BM46" s="180">
        <f t="shared" si="18"/>
        <v>6.1257422745431001E-17</v>
      </c>
      <c r="BN46" s="180">
        <f t="shared" si="18"/>
        <v>6.1257422745431001E-17</v>
      </c>
      <c r="BO46" s="180">
        <f t="shared" si="18"/>
        <v>6.1257422745431001E-17</v>
      </c>
      <c r="BP46" s="180">
        <f t="shared" si="18"/>
        <v>0.12256256273118349</v>
      </c>
      <c r="BQ46" s="180">
        <f t="shared" si="18"/>
        <v>0.24626390788735833</v>
      </c>
      <c r="BR46" s="180">
        <f t="shared" si="18"/>
        <v>0.30637235343673169</v>
      </c>
      <c r="BS46" s="180">
        <f t="shared" si="18"/>
        <v>0.28341612597090754</v>
      </c>
      <c r="BT46" s="180">
        <f t="shared" si="18"/>
        <v>0.18228607164589958</v>
      </c>
      <c r="BU46" s="180">
        <f t="shared" si="18"/>
        <v>3.0466276882427881E-2</v>
      </c>
      <c r="BV46" s="180">
        <f t="shared" si="18"/>
        <v>6.1257422745431001E-17</v>
      </c>
      <c r="BW46" s="180">
        <f t="shared" si="18"/>
        <v>6.1257422745431001E-17</v>
      </c>
      <c r="BX46" s="180">
        <f t="shared" si="18"/>
        <v>6.1257422745431001E-17</v>
      </c>
      <c r="BY46" s="180">
        <f t="shared" si="19"/>
        <v>0</v>
      </c>
      <c r="BZ46" s="180">
        <f t="shared" si="19"/>
        <v>0</v>
      </c>
      <c r="CA46" s="180">
        <f t="shared" si="19"/>
        <v>0</v>
      </c>
      <c r="CB46" s="180">
        <f t="shared" si="19"/>
        <v>0.12256256273118349</v>
      </c>
      <c r="CC46" s="180">
        <f t="shared" si="19"/>
        <v>0.24626390788735833</v>
      </c>
      <c r="CD46" s="180">
        <f t="shared" si="19"/>
        <v>0.30637235343673169</v>
      </c>
      <c r="CE46" s="180">
        <f t="shared" si="19"/>
        <v>0.28341612597090754</v>
      </c>
      <c r="CF46" s="180">
        <f t="shared" si="19"/>
        <v>0.18228607164589958</v>
      </c>
      <c r="CG46" s="180">
        <f t="shared" si="19"/>
        <v>3.0466276882427881E-2</v>
      </c>
      <c r="CH46" s="180">
        <f t="shared" si="19"/>
        <v>0</v>
      </c>
      <c r="CI46" s="180">
        <f t="shared" si="19"/>
        <v>0</v>
      </c>
      <c r="CJ46" s="180">
        <f t="shared" si="19"/>
        <v>0</v>
      </c>
      <c r="CK46">
        <f t="shared" si="20"/>
        <v>20.284401274960064</v>
      </c>
      <c r="CL46">
        <f t="shared" si="20"/>
        <v>17.360767793289341</v>
      </c>
      <c r="CM46">
        <f t="shared" si="20"/>
        <v>14.011696302994885</v>
      </c>
      <c r="CN46">
        <f t="shared" si="20"/>
        <v>319.28868505104674</v>
      </c>
      <c r="CO46">
        <f t="shared" si="20"/>
        <v>479.10592711021644</v>
      </c>
      <c r="CP46">
        <f t="shared" si="20"/>
        <v>534.80598453313871</v>
      </c>
      <c r="CQ46">
        <f t="shared" si="20"/>
        <v>515.83703304472476</v>
      </c>
      <c r="CR46">
        <f t="shared" si="20"/>
        <v>410.64646894665901</v>
      </c>
      <c r="CS46">
        <f t="shared" si="20"/>
        <v>102.4805768751698</v>
      </c>
      <c r="CT46">
        <f t="shared" si="20"/>
        <v>17.103383011798549</v>
      </c>
      <c r="CU46">
        <f t="shared" si="20"/>
        <v>20.112939786998474</v>
      </c>
      <c r="CV46">
        <f t="shared" si="20"/>
        <v>21.403786013982739</v>
      </c>
      <c r="CW46">
        <f t="shared" si="21"/>
        <v>0</v>
      </c>
      <c r="CX46">
        <f t="shared" si="21"/>
        <v>0</v>
      </c>
      <c r="CY46">
        <f t="shared" si="21"/>
        <v>0</v>
      </c>
      <c r="CZ46">
        <f t="shared" si="21"/>
        <v>1</v>
      </c>
      <c r="DA46">
        <f t="shared" si="21"/>
        <v>1</v>
      </c>
      <c r="DB46">
        <f t="shared" si="21"/>
        <v>1</v>
      </c>
      <c r="DC46">
        <f t="shared" si="21"/>
        <v>1</v>
      </c>
      <c r="DD46">
        <f t="shared" si="21"/>
        <v>1</v>
      </c>
      <c r="DE46">
        <f t="shared" si="21"/>
        <v>1</v>
      </c>
      <c r="DF46">
        <f t="shared" si="21"/>
        <v>0</v>
      </c>
      <c r="DG46">
        <f t="shared" si="21"/>
        <v>0</v>
      </c>
      <c r="DH46">
        <f t="shared" si="21"/>
        <v>0</v>
      </c>
      <c r="DI46">
        <f t="shared" si="22"/>
        <v>0</v>
      </c>
      <c r="DJ46">
        <f t="shared" si="22"/>
        <v>0</v>
      </c>
      <c r="DK46">
        <f t="shared" si="22"/>
        <v>0</v>
      </c>
      <c r="DL46">
        <f t="shared" si="22"/>
        <v>1</v>
      </c>
      <c r="DM46">
        <f t="shared" si="22"/>
        <v>1</v>
      </c>
      <c r="DN46">
        <f t="shared" si="22"/>
        <v>1</v>
      </c>
      <c r="DO46">
        <f t="shared" si="22"/>
        <v>1</v>
      </c>
      <c r="DP46">
        <f t="shared" si="22"/>
        <v>1</v>
      </c>
      <c r="DQ46">
        <f t="shared" si="22"/>
        <v>1</v>
      </c>
      <c r="DR46">
        <f t="shared" si="22"/>
        <v>0</v>
      </c>
      <c r="DS46">
        <f t="shared" si="22"/>
        <v>0</v>
      </c>
      <c r="DT46">
        <f t="shared" si="22"/>
        <v>0</v>
      </c>
      <c r="DU46">
        <f t="shared" si="23"/>
        <v>0</v>
      </c>
      <c r="DV46">
        <f t="shared" si="23"/>
        <v>0</v>
      </c>
      <c r="DW46">
        <f t="shared" si="23"/>
        <v>0</v>
      </c>
      <c r="DX46">
        <f t="shared" si="23"/>
        <v>587.20184712138803</v>
      </c>
      <c r="DY46">
        <f t="shared" si="23"/>
        <v>1770.4283769031285</v>
      </c>
      <c r="DZ46">
        <f t="shared" si="23"/>
        <v>2458.6226744151254</v>
      </c>
      <c r="EA46">
        <f t="shared" si="23"/>
        <v>2193.7297587639409</v>
      </c>
      <c r="EB46">
        <f t="shared" si="23"/>
        <v>1123.2272472124712</v>
      </c>
      <c r="EC46">
        <f t="shared" si="23"/>
        <v>46.849719779074888</v>
      </c>
      <c r="ED46">
        <f t="shared" si="23"/>
        <v>0</v>
      </c>
      <c r="EE46">
        <f t="shared" si="23"/>
        <v>0</v>
      </c>
      <c r="EF46">
        <f t="shared" si="23"/>
        <v>0</v>
      </c>
      <c r="EG46">
        <f t="shared" si="24"/>
        <v>0</v>
      </c>
      <c r="EH46">
        <f t="shared" si="24"/>
        <v>0</v>
      </c>
      <c r="EI46">
        <f t="shared" si="24"/>
        <v>0</v>
      </c>
      <c r="EJ46">
        <f t="shared" si="24"/>
        <v>586.99259236389003</v>
      </c>
      <c r="EK46">
        <f t="shared" si="24"/>
        <v>1769.7974685323663</v>
      </c>
      <c r="EL46">
        <f t="shared" si="24"/>
        <v>2457.7465217019908</v>
      </c>
      <c r="EM46">
        <f t="shared" si="24"/>
        <v>2192.9480030679438</v>
      </c>
      <c r="EN46">
        <f t="shared" si="24"/>
        <v>1122.8269748931955</v>
      </c>
      <c r="EO46">
        <f t="shared" si="24"/>
        <v>46.833024452247884</v>
      </c>
      <c r="EP46">
        <f t="shared" si="24"/>
        <v>0</v>
      </c>
      <c r="EQ46">
        <f t="shared" si="24"/>
        <v>0</v>
      </c>
      <c r="ER46">
        <f t="shared" si="24"/>
        <v>0</v>
      </c>
    </row>
    <row r="47" spans="2:148" x14ac:dyDescent="0.2">
      <c r="B47" s="179">
        <v>0.29166666666666702</v>
      </c>
      <c r="C47">
        <f t="shared" si="26"/>
        <v>75</v>
      </c>
      <c r="D47">
        <f t="shared" si="25"/>
        <v>1.3089969389957472</v>
      </c>
      <c r="E47">
        <f t="shared" si="13"/>
        <v>0</v>
      </c>
      <c r="F47">
        <f t="shared" si="13"/>
        <v>0</v>
      </c>
      <c r="G47">
        <f t="shared" si="13"/>
        <v>7.1849898973018043</v>
      </c>
      <c r="H47">
        <f t="shared" si="13"/>
        <v>16.508219884960099</v>
      </c>
      <c r="I47">
        <f t="shared" si="13"/>
        <v>23.667422081564197</v>
      </c>
      <c r="J47">
        <f t="shared" si="13"/>
        <v>27.173289632859714</v>
      </c>
      <c r="K47">
        <f t="shared" si="13"/>
        <v>25.831334732043345</v>
      </c>
      <c r="L47">
        <f t="shared" si="13"/>
        <v>19.958703045636753</v>
      </c>
      <c r="M47">
        <f t="shared" si="13"/>
        <v>11.185781336374305</v>
      </c>
      <c r="N47">
        <f t="shared" si="13"/>
        <v>2.0925849748941374</v>
      </c>
      <c r="O47">
        <f t="shared" si="13"/>
        <v>0</v>
      </c>
      <c r="P47">
        <f t="shared" si="13"/>
        <v>0</v>
      </c>
      <c r="Q47">
        <f t="shared" si="14"/>
        <v>3.1156564804798061</v>
      </c>
      <c r="R47">
        <f t="shared" si="14"/>
        <v>3.2239999999999998</v>
      </c>
      <c r="S47">
        <f t="shared" si="14"/>
        <v>3.3786462917128137</v>
      </c>
      <c r="T47">
        <f t="shared" si="14"/>
        <v>3.5352705079036948</v>
      </c>
      <c r="U47">
        <f t="shared" si="14"/>
        <v>3.6502364648816665</v>
      </c>
      <c r="V47">
        <f t="shared" si="14"/>
        <v>3.693135958752646</v>
      </c>
      <c r="W47">
        <f t="shared" si="14"/>
        <v>3.6522381371069166</v>
      </c>
      <c r="X47">
        <f t="shared" si="14"/>
        <v>3.5384622893764317</v>
      </c>
      <c r="Y47">
        <f t="shared" si="14"/>
        <v>3.3823471218275767</v>
      </c>
      <c r="Z47">
        <f t="shared" si="14"/>
        <v>3.225935692377552</v>
      </c>
      <c r="AA47">
        <f t="shared" si="14"/>
        <v>3.1156564804798061</v>
      </c>
      <c r="AB47">
        <f t="shared" si="14"/>
        <v>3.0760000000000001</v>
      </c>
      <c r="AC47">
        <f t="shared" si="15"/>
        <v>3.7499999999999881E-2</v>
      </c>
      <c r="AD47">
        <f t="shared" si="15"/>
        <v>3.7499999999999881E-2</v>
      </c>
      <c r="AE47">
        <f t="shared" si="15"/>
        <v>6.1521298318435169E-2</v>
      </c>
      <c r="AF47">
        <f t="shared" si="15"/>
        <v>7.9566273445561136E-2</v>
      </c>
      <c r="AG47">
        <f t="shared" si="15"/>
        <v>8.6420627497699909E-2</v>
      </c>
      <c r="AH47">
        <f t="shared" si="15"/>
        <v>8.8474678648824967E-2</v>
      </c>
      <c r="AI47">
        <f t="shared" si="15"/>
        <v>8.7759117945267306E-2</v>
      </c>
      <c r="AJ47">
        <f t="shared" si="15"/>
        <v>8.342483150098759E-2</v>
      </c>
      <c r="AK47">
        <f t="shared" si="15"/>
        <v>7.0854180648789483E-2</v>
      </c>
      <c r="AL47">
        <f t="shared" si="15"/>
        <v>4.5520597895949158E-2</v>
      </c>
      <c r="AM47">
        <f t="shared" si="15"/>
        <v>3.7499999999999881E-2</v>
      </c>
      <c r="AN47">
        <f t="shared" si="15"/>
        <v>3.7499999999999881E-2</v>
      </c>
      <c r="AO47">
        <f t="shared" si="16"/>
        <v>36.218241904286437</v>
      </c>
      <c r="AP47">
        <f t="shared" si="16"/>
        <v>36.218241904286437</v>
      </c>
      <c r="AQ47">
        <f t="shared" si="16"/>
        <v>6.5524400384080774</v>
      </c>
      <c r="AR47">
        <f t="shared" si="16"/>
        <v>3.2083416986281637</v>
      </c>
      <c r="AS47">
        <f t="shared" si="16"/>
        <v>2.3310494906000772</v>
      </c>
      <c r="AT47">
        <f t="shared" si="16"/>
        <v>2.0649807586817719</v>
      </c>
      <c r="AU47">
        <f t="shared" si="16"/>
        <v>2.1584331978807594</v>
      </c>
      <c r="AV47">
        <f t="shared" si="16"/>
        <v>2.7108394392306083</v>
      </c>
      <c r="AW47">
        <f t="shared" si="16"/>
        <v>4.514253557277522</v>
      </c>
      <c r="AX47">
        <f t="shared" si="16"/>
        <v>15.601251229172117</v>
      </c>
      <c r="AY47">
        <f t="shared" si="16"/>
        <v>36.218241904286437</v>
      </c>
      <c r="AZ47">
        <f t="shared" si="16"/>
        <v>36.218241904286437</v>
      </c>
      <c r="BA47">
        <f t="shared" si="17"/>
        <v>-0.12778744652547033</v>
      </c>
      <c r="BB47">
        <f t="shared" si="17"/>
        <v>-1.6562248815273517E-2</v>
      </c>
      <c r="BC47">
        <f t="shared" si="17"/>
        <v>0.12498214729799462</v>
      </c>
      <c r="BD47">
        <f t="shared" si="17"/>
        <v>0.28411998047510162</v>
      </c>
      <c r="BE47">
        <f t="shared" si="17"/>
        <v>0.40144130078286555</v>
      </c>
      <c r="BF47">
        <f t="shared" si="17"/>
        <v>0.45672120157184526</v>
      </c>
      <c r="BG47">
        <f t="shared" si="17"/>
        <v>0.43575223907155247</v>
      </c>
      <c r="BH47">
        <f t="shared" si="17"/>
        <v>0.34133232866423113</v>
      </c>
      <c r="BI47">
        <f t="shared" si="17"/>
        <v>0.19392424339061198</v>
      </c>
      <c r="BJ47">
        <f t="shared" si="17"/>
        <v>3.6393250538626076E-2</v>
      </c>
      <c r="BK47">
        <f t="shared" si="17"/>
        <v>-9.630722958145177E-2</v>
      </c>
      <c r="BL47">
        <f t="shared" si="17"/>
        <v>-0.15655290285730408</v>
      </c>
      <c r="BM47" s="180">
        <f t="shared" si="18"/>
        <v>6.1257422745431001E-17</v>
      </c>
      <c r="BN47" s="180">
        <f t="shared" si="18"/>
        <v>6.1257422745431001E-17</v>
      </c>
      <c r="BO47" s="180">
        <f t="shared" si="18"/>
        <v>0.12507331930998811</v>
      </c>
      <c r="BP47" s="180">
        <f t="shared" si="18"/>
        <v>0.28415289794945564</v>
      </c>
      <c r="BQ47" s="180">
        <f t="shared" si="18"/>
        <v>0.40142707333933092</v>
      </c>
      <c r="BR47" s="180">
        <f t="shared" si="18"/>
        <v>0.45668324585370917</v>
      </c>
      <c r="BS47" s="180">
        <f t="shared" si="18"/>
        <v>0.43572341341462151</v>
      </c>
      <c r="BT47" s="180">
        <f t="shared" si="18"/>
        <v>0.34134275433735806</v>
      </c>
      <c r="BU47" s="180">
        <f t="shared" si="18"/>
        <v>0.19399090896221904</v>
      </c>
      <c r="BV47" s="180">
        <f t="shared" si="18"/>
        <v>3.651437871483082E-2</v>
      </c>
      <c r="BW47" s="180">
        <f t="shared" si="18"/>
        <v>6.1257422745431001E-17</v>
      </c>
      <c r="BX47" s="180">
        <f t="shared" si="18"/>
        <v>6.1257422745431001E-17</v>
      </c>
      <c r="BY47" s="180">
        <f t="shared" si="19"/>
        <v>0</v>
      </c>
      <c r="BZ47" s="180">
        <f t="shared" si="19"/>
        <v>0</v>
      </c>
      <c r="CA47" s="180">
        <f t="shared" si="19"/>
        <v>0.12507331930998811</v>
      </c>
      <c r="CB47" s="180">
        <f t="shared" si="19"/>
        <v>0.28415289794945564</v>
      </c>
      <c r="CC47" s="180">
        <f t="shared" si="19"/>
        <v>0.40142707333933092</v>
      </c>
      <c r="CD47" s="180">
        <f t="shared" si="19"/>
        <v>0.45668324585370917</v>
      </c>
      <c r="CE47" s="180">
        <f t="shared" si="19"/>
        <v>0.43572341341462151</v>
      </c>
      <c r="CF47" s="180">
        <f t="shared" si="19"/>
        <v>0.34134275433735806</v>
      </c>
      <c r="CG47" s="180">
        <f t="shared" si="19"/>
        <v>0.19399090896221904</v>
      </c>
      <c r="CH47" s="180">
        <f t="shared" si="19"/>
        <v>3.651437871483082E-2</v>
      </c>
      <c r="CI47" s="180">
        <f t="shared" si="19"/>
        <v>0</v>
      </c>
      <c r="CJ47" s="180">
        <f t="shared" si="19"/>
        <v>0</v>
      </c>
      <c r="CK47">
        <f t="shared" si="20"/>
        <v>20.284401274960064</v>
      </c>
      <c r="CL47">
        <f t="shared" si="20"/>
        <v>17.360767793289341</v>
      </c>
      <c r="CM47">
        <f t="shared" si="20"/>
        <v>349.9209981807561</v>
      </c>
      <c r="CN47">
        <f t="shared" si="20"/>
        <v>544.48605693416528</v>
      </c>
      <c r="CO47">
        <f t="shared" si="20"/>
        <v>633.91114360953941</v>
      </c>
      <c r="CP47">
        <f t="shared" si="20"/>
        <v>667.24601828170239</v>
      </c>
      <c r="CQ47">
        <f t="shared" si="20"/>
        <v>655.64850689805428</v>
      </c>
      <c r="CR47">
        <f t="shared" si="20"/>
        <v>593.34874280081817</v>
      </c>
      <c r="CS47">
        <f t="shared" si="20"/>
        <v>454.56735732917582</v>
      </c>
      <c r="CT47">
        <f t="shared" si="20"/>
        <v>137.97496466208329</v>
      </c>
      <c r="CU47">
        <f t="shared" si="20"/>
        <v>20.112939786998474</v>
      </c>
      <c r="CV47">
        <f t="shared" si="20"/>
        <v>21.403786013982739</v>
      </c>
      <c r="CW47">
        <f t="shared" si="21"/>
        <v>0</v>
      </c>
      <c r="CX47">
        <f t="shared" si="21"/>
        <v>0</v>
      </c>
      <c r="CY47">
        <f t="shared" si="21"/>
        <v>1</v>
      </c>
      <c r="CZ47">
        <f t="shared" si="21"/>
        <v>1</v>
      </c>
      <c r="DA47">
        <f t="shared" si="21"/>
        <v>1</v>
      </c>
      <c r="DB47">
        <f t="shared" si="21"/>
        <v>1</v>
      </c>
      <c r="DC47">
        <f t="shared" si="21"/>
        <v>1</v>
      </c>
      <c r="DD47">
        <f t="shared" si="21"/>
        <v>1</v>
      </c>
      <c r="DE47">
        <f t="shared" si="21"/>
        <v>1</v>
      </c>
      <c r="DF47">
        <f t="shared" si="21"/>
        <v>1</v>
      </c>
      <c r="DG47">
        <f t="shared" si="21"/>
        <v>0</v>
      </c>
      <c r="DH47">
        <f t="shared" si="21"/>
        <v>0</v>
      </c>
      <c r="DI47">
        <f t="shared" si="22"/>
        <v>0</v>
      </c>
      <c r="DJ47">
        <f t="shared" si="22"/>
        <v>0</v>
      </c>
      <c r="DK47">
        <f t="shared" si="22"/>
        <v>1</v>
      </c>
      <c r="DL47">
        <f t="shared" si="22"/>
        <v>1</v>
      </c>
      <c r="DM47">
        <f t="shared" si="22"/>
        <v>1</v>
      </c>
      <c r="DN47">
        <f t="shared" si="22"/>
        <v>1</v>
      </c>
      <c r="DO47">
        <f t="shared" si="22"/>
        <v>1</v>
      </c>
      <c r="DP47">
        <f t="shared" si="22"/>
        <v>1</v>
      </c>
      <c r="DQ47">
        <f t="shared" si="22"/>
        <v>1</v>
      </c>
      <c r="DR47">
        <f t="shared" si="22"/>
        <v>1</v>
      </c>
      <c r="DS47">
        <f t="shared" si="22"/>
        <v>0</v>
      </c>
      <c r="DT47">
        <f t="shared" si="22"/>
        <v>0</v>
      </c>
      <c r="DU47">
        <f t="shared" si="23"/>
        <v>0</v>
      </c>
      <c r="DV47">
        <f t="shared" si="23"/>
        <v>0</v>
      </c>
      <c r="DW47">
        <f t="shared" si="23"/>
        <v>656.00816605932846</v>
      </c>
      <c r="DX47">
        <f t="shared" si="23"/>
        <v>2320.4905179765015</v>
      </c>
      <c r="DY47">
        <f t="shared" si="23"/>
        <v>3817.1717110705108</v>
      </c>
      <c r="DZ47">
        <f t="shared" si="23"/>
        <v>4571.1810482047285</v>
      </c>
      <c r="EA47">
        <f t="shared" si="23"/>
        <v>4285.5045738712106</v>
      </c>
      <c r="EB47">
        <f t="shared" si="23"/>
        <v>3037.9366213529584</v>
      </c>
      <c r="EC47">
        <f t="shared" si="23"/>
        <v>1322.2744626019557</v>
      </c>
      <c r="ED47">
        <f t="shared" si="23"/>
        <v>75.320361855079142</v>
      </c>
      <c r="EE47">
        <f t="shared" si="23"/>
        <v>0</v>
      </c>
      <c r="EF47">
        <f t="shared" si="23"/>
        <v>0</v>
      </c>
      <c r="EG47">
        <f t="shared" si="24"/>
        <v>0</v>
      </c>
      <c r="EH47">
        <f t="shared" si="24"/>
        <v>0</v>
      </c>
      <c r="EI47">
        <f t="shared" si="24"/>
        <v>656.4867110809721</v>
      </c>
      <c r="EJ47">
        <f t="shared" si="24"/>
        <v>2320.7593645637307</v>
      </c>
      <c r="EK47">
        <f t="shared" si="24"/>
        <v>3817.0364270454857</v>
      </c>
      <c r="EL47">
        <f t="shared" si="24"/>
        <v>4570.8011611777683</v>
      </c>
      <c r="EM47">
        <f t="shared" si="24"/>
        <v>4285.2210813873035</v>
      </c>
      <c r="EN47">
        <f t="shared" si="24"/>
        <v>3038.0294122535988</v>
      </c>
      <c r="EO47">
        <f t="shared" si="24"/>
        <v>1322.7290224926096</v>
      </c>
      <c r="EP47">
        <f t="shared" si="24"/>
        <v>75.57105169255064</v>
      </c>
      <c r="EQ47">
        <f t="shared" si="24"/>
        <v>0</v>
      </c>
      <c r="ER47">
        <f t="shared" si="24"/>
        <v>0</v>
      </c>
    </row>
    <row r="48" spans="2:148" x14ac:dyDescent="0.2">
      <c r="B48" s="181">
        <v>0.33333333333333298</v>
      </c>
      <c r="C48" s="18">
        <f t="shared" si="26"/>
        <v>60</v>
      </c>
      <c r="D48" s="18">
        <f t="shared" si="25"/>
        <v>1.0471975511965976</v>
      </c>
      <c r="E48" s="18">
        <f t="shared" si="13"/>
        <v>0.83429307302620259</v>
      </c>
      <c r="F48" s="18">
        <f t="shared" si="13"/>
        <v>7.5907418791351944</v>
      </c>
      <c r="G48" s="18">
        <f t="shared" si="13"/>
        <v>16.104180982431927</v>
      </c>
      <c r="H48" s="18">
        <f t="shared" si="13"/>
        <v>25.768185790235151</v>
      </c>
      <c r="I48" s="18">
        <f t="shared" si="13"/>
        <v>33.09412947420099</v>
      </c>
      <c r="J48" s="18">
        <f t="shared" si="13"/>
        <v>36.637536366889144</v>
      </c>
      <c r="K48" s="18">
        <f t="shared" si="13"/>
        <v>35.285510333176617</v>
      </c>
      <c r="L48" s="18">
        <f t="shared" si="13"/>
        <v>29.311664898239812</v>
      </c>
      <c r="M48" s="18">
        <f t="shared" si="13"/>
        <v>20.265546296802711</v>
      </c>
      <c r="N48" s="18">
        <f t="shared" si="13"/>
        <v>10.778644100012315</v>
      </c>
      <c r="O48" s="18">
        <f t="shared" si="13"/>
        <v>2.7587557088067598</v>
      </c>
      <c r="P48" s="18">
        <f t="shared" si="13"/>
        <v>0</v>
      </c>
      <c r="Q48" s="18">
        <f t="shared" si="14"/>
        <v>3.1164282220155033</v>
      </c>
      <c r="R48" s="18">
        <f t="shared" si="14"/>
        <v>3.2310216222383761</v>
      </c>
      <c r="S48" s="18">
        <f t="shared" si="14"/>
        <v>3.3868967620184658</v>
      </c>
      <c r="T48" s="18">
        <f t="shared" si="14"/>
        <v>3.5438362032681767</v>
      </c>
      <c r="U48" s="18">
        <f t="shared" si="14"/>
        <v>3.6589564002077175</v>
      </c>
      <c r="V48" s="18">
        <f t="shared" si="14"/>
        <v>3.7018906188893328</v>
      </c>
      <c r="W48" s="18">
        <f t="shared" si="14"/>
        <v>3.6609834811988957</v>
      </c>
      <c r="X48" s="18">
        <f t="shared" si="14"/>
        <v>3.5471140082709232</v>
      </c>
      <c r="Y48" s="18">
        <f t="shared" si="14"/>
        <v>3.3907461269025112</v>
      </c>
      <c r="Z48" s="18">
        <f t="shared" si="14"/>
        <v>3.233970509907631</v>
      </c>
      <c r="AA48" s="18">
        <f t="shared" si="14"/>
        <v>3.1182083971097803</v>
      </c>
      <c r="AB48" s="18">
        <f t="shared" si="14"/>
        <v>3.0760000000000001</v>
      </c>
      <c r="AC48" s="18">
        <f t="shared" si="15"/>
        <v>4.0800910925375508E-2</v>
      </c>
      <c r="AD48" s="18">
        <f t="shared" si="15"/>
        <v>6.2590947463828164E-2</v>
      </c>
      <c r="AE48" s="18">
        <f t="shared" si="15"/>
        <v>7.9032104028200906E-2</v>
      </c>
      <c r="AF48" s="18">
        <f t="shared" si="15"/>
        <v>8.7723476295218317E-2</v>
      </c>
      <c r="AG48" s="18">
        <f t="shared" si="15"/>
        <v>9.0954808174574575E-2</v>
      </c>
      <c r="AH48" s="18">
        <f t="shared" si="15"/>
        <v>9.2164369494130927E-2</v>
      </c>
      <c r="AI48" s="18">
        <f t="shared" si="15"/>
        <v>9.1714292298413325E-2</v>
      </c>
      <c r="AJ48" s="18">
        <f t="shared" si="15"/>
        <v>8.9474545712164177E-2</v>
      </c>
      <c r="AK48" s="18">
        <f t="shared" si="15"/>
        <v>8.3713104737968724E-2</v>
      </c>
      <c r="AL48" s="18">
        <f t="shared" si="15"/>
        <v>7.0023190561556176E-2</v>
      </c>
      <c r="AM48" s="18">
        <f t="shared" si="15"/>
        <v>4.7893987897192833E-2</v>
      </c>
      <c r="AN48" s="18">
        <f t="shared" si="15"/>
        <v>3.7499999999999881E-2</v>
      </c>
      <c r="AO48" s="18">
        <f t="shared" si="16"/>
        <v>23.719533302896636</v>
      </c>
      <c r="AP48" s="18">
        <f t="shared" si="16"/>
        <v>6.2642569326479727</v>
      </c>
      <c r="AQ48" s="18">
        <f t="shared" si="16"/>
        <v>3.2795666764947877</v>
      </c>
      <c r="AR48" s="18">
        <f t="shared" si="16"/>
        <v>2.1630676295945079</v>
      </c>
      <c r="AS48" s="18">
        <f t="shared" si="16"/>
        <v>1.7432903583545352</v>
      </c>
      <c r="AT48" s="18">
        <f t="shared" si="16"/>
        <v>1.6016020445731576</v>
      </c>
      <c r="AU48" s="18">
        <f t="shared" si="16"/>
        <v>1.6521517797292273</v>
      </c>
      <c r="AV48" s="18">
        <f t="shared" si="16"/>
        <v>1.9336601662673771</v>
      </c>
      <c r="AW48" s="18">
        <f t="shared" si="16"/>
        <v>2.6743717993864204</v>
      </c>
      <c r="AX48" s="18">
        <f t="shared" si="16"/>
        <v>4.6610193356649221</v>
      </c>
      <c r="AY48" s="18">
        <f t="shared" si="16"/>
        <v>13.208913616844486</v>
      </c>
      <c r="AZ48" s="18">
        <f t="shared" si="16"/>
        <v>36.218241904286437</v>
      </c>
      <c r="BA48" s="18">
        <f t="shared" si="17"/>
        <v>1.4321023566164437E-2</v>
      </c>
      <c r="BB48" s="18">
        <f t="shared" si="17"/>
        <v>0.13188757575512813</v>
      </c>
      <c r="BC48" s="18">
        <f t="shared" si="17"/>
        <v>0.2772213801909163</v>
      </c>
      <c r="BD48" s="18">
        <f t="shared" si="17"/>
        <v>0.43462681285221616</v>
      </c>
      <c r="BE48" s="18">
        <f t="shared" si="17"/>
        <v>0.54596180383298754</v>
      </c>
      <c r="BF48" s="18">
        <f t="shared" si="17"/>
        <v>0.59672224964751264</v>
      </c>
      <c r="BG48" s="18">
        <f t="shared" si="17"/>
        <v>0.57761274917037631</v>
      </c>
      <c r="BH48" s="18">
        <f t="shared" si="17"/>
        <v>0.48947929208235191</v>
      </c>
      <c r="BI48" s="18">
        <f t="shared" si="17"/>
        <v>0.3462326989471759</v>
      </c>
      <c r="BJ48" s="18">
        <f t="shared" si="17"/>
        <v>0.18682269288989475</v>
      </c>
      <c r="BK48" s="18">
        <f t="shared" si="17"/>
        <v>4.7899497561608939E-2</v>
      </c>
      <c r="BL48" s="18">
        <f t="shared" si="17"/>
        <v>-1.6576006189678028E-2</v>
      </c>
      <c r="BM48" s="180">
        <f>COS(RADIANS(90-E48))</f>
        <v>1.4560646495463596E-2</v>
      </c>
      <c r="BN48" s="180">
        <f t="shared" si="18"/>
        <v>0.13209622327381904</v>
      </c>
      <c r="BO48" s="180">
        <f t="shared" si="18"/>
        <v>0.27738476245337479</v>
      </c>
      <c r="BP48" s="180">
        <f t="shared" si="18"/>
        <v>0.43473111886325727</v>
      </c>
      <c r="BQ48" s="180">
        <f t="shared" si="18"/>
        <v>0.54601612548500655</v>
      </c>
      <c r="BR48" s="180">
        <f t="shared" si="18"/>
        <v>0.5967506993529641</v>
      </c>
      <c r="BS48" s="180">
        <f t="shared" si="18"/>
        <v>0.5776512109187395</v>
      </c>
      <c r="BT48" s="180">
        <f t="shared" si="18"/>
        <v>0.4895599869569901</v>
      </c>
      <c r="BU48" s="180">
        <f t="shared" si="18"/>
        <v>0.34637160760300406</v>
      </c>
      <c r="BV48" s="180">
        <f t="shared" si="18"/>
        <v>0.18701517289507985</v>
      </c>
      <c r="BW48" s="180">
        <f t="shared" si="18"/>
        <v>4.8130767922654034E-2</v>
      </c>
      <c r="BX48" s="180">
        <f t="shared" si="18"/>
        <v>6.1257422745431001E-17</v>
      </c>
      <c r="BY48" s="180">
        <f t="shared" si="19"/>
        <v>1.4560646495463596E-2</v>
      </c>
      <c r="BZ48" s="180">
        <f t="shared" si="19"/>
        <v>0.13209622327381904</v>
      </c>
      <c r="CA48" s="180">
        <f t="shared" si="19"/>
        <v>0.27738476245337479</v>
      </c>
      <c r="CB48" s="180">
        <f t="shared" si="19"/>
        <v>0.43473111886325727</v>
      </c>
      <c r="CC48" s="180">
        <f t="shared" si="19"/>
        <v>0.54601612548500655</v>
      </c>
      <c r="CD48" s="180">
        <f t="shared" si="19"/>
        <v>0.5967506993529641</v>
      </c>
      <c r="CE48" s="180">
        <f t="shared" si="19"/>
        <v>0.5776512109187395</v>
      </c>
      <c r="CF48" s="180">
        <f t="shared" si="19"/>
        <v>0.4895599869569901</v>
      </c>
      <c r="CG48" s="180">
        <f t="shared" si="19"/>
        <v>0.34637160760300406</v>
      </c>
      <c r="CH48" s="180">
        <f t="shared" si="19"/>
        <v>0.18701517289507985</v>
      </c>
      <c r="CI48" s="180">
        <f t="shared" si="19"/>
        <v>4.8130767922654034E-2</v>
      </c>
      <c r="CJ48" s="180">
        <f t="shared" si="19"/>
        <v>0</v>
      </c>
      <c r="CK48" s="18">
        <f t="shared" si="20"/>
        <v>68.406972065180696</v>
      </c>
      <c r="CL48" s="18">
        <f t="shared" si="20"/>
        <v>390.0054683097627</v>
      </c>
      <c r="CM48" s="18">
        <f t="shared" si="20"/>
        <v>567.8377779763473</v>
      </c>
      <c r="CN48" s="18">
        <f t="shared" si="20"/>
        <v>685.30361676388088</v>
      </c>
      <c r="CO48" s="18">
        <f t="shared" si="20"/>
        <v>740.32200429179284</v>
      </c>
      <c r="CP48" s="18">
        <f t="shared" si="20"/>
        <v>758.58192417737189</v>
      </c>
      <c r="CQ48" s="18">
        <f t="shared" si="20"/>
        <v>751.97709210745131</v>
      </c>
      <c r="CR48" s="18">
        <f t="shared" si="20"/>
        <v>715.02115137659325</v>
      </c>
      <c r="CS48" s="18">
        <f t="shared" si="20"/>
        <v>627.71255141081485</v>
      </c>
      <c r="CT48" s="18">
        <f t="shared" si="20"/>
        <v>474.64171084477692</v>
      </c>
      <c r="CU48" s="18">
        <f t="shared" si="20"/>
        <v>192.54576138995404</v>
      </c>
      <c r="CV48" s="18">
        <f t="shared" si="20"/>
        <v>21.403786013982739</v>
      </c>
      <c r="CW48">
        <f t="shared" si="21"/>
        <v>1</v>
      </c>
      <c r="CX48">
        <f t="shared" si="21"/>
        <v>1</v>
      </c>
      <c r="CY48">
        <f t="shared" si="21"/>
        <v>1</v>
      </c>
      <c r="CZ48">
        <f t="shared" si="21"/>
        <v>1</v>
      </c>
      <c r="DA48">
        <f t="shared" si="21"/>
        <v>1</v>
      </c>
      <c r="DB48">
        <f t="shared" si="21"/>
        <v>1</v>
      </c>
      <c r="DC48">
        <f t="shared" si="21"/>
        <v>1</v>
      </c>
      <c r="DD48">
        <f t="shared" si="21"/>
        <v>1</v>
      </c>
      <c r="DE48">
        <f t="shared" si="21"/>
        <v>1</v>
      </c>
      <c r="DF48">
        <f t="shared" si="21"/>
        <v>1</v>
      </c>
      <c r="DG48">
        <f t="shared" si="21"/>
        <v>1</v>
      </c>
      <c r="DH48">
        <f t="shared" si="21"/>
        <v>0</v>
      </c>
      <c r="DI48">
        <f t="shared" si="22"/>
        <v>1</v>
      </c>
      <c r="DJ48">
        <f t="shared" si="22"/>
        <v>1</v>
      </c>
      <c r="DK48">
        <f t="shared" si="22"/>
        <v>1</v>
      </c>
      <c r="DL48">
        <f t="shared" si="22"/>
        <v>1</v>
      </c>
      <c r="DM48">
        <f t="shared" si="22"/>
        <v>1</v>
      </c>
      <c r="DN48">
        <f t="shared" si="22"/>
        <v>1</v>
      </c>
      <c r="DO48">
        <f t="shared" si="22"/>
        <v>1</v>
      </c>
      <c r="DP48">
        <f t="shared" si="22"/>
        <v>1</v>
      </c>
      <c r="DQ48">
        <f t="shared" si="22"/>
        <v>1</v>
      </c>
      <c r="DR48">
        <f t="shared" si="22"/>
        <v>1</v>
      </c>
      <c r="DS48">
        <f t="shared" si="22"/>
        <v>1</v>
      </c>
      <c r="DT48">
        <f t="shared" si="22"/>
        <v>0</v>
      </c>
      <c r="DU48">
        <f t="shared" si="23"/>
        <v>14.694867885531075</v>
      </c>
      <c r="DV48">
        <f t="shared" si="23"/>
        <v>771.55313619927085</v>
      </c>
      <c r="DW48">
        <f t="shared" si="23"/>
        <v>2361.2515880271912</v>
      </c>
      <c r="DX48">
        <f t="shared" si="23"/>
        <v>4467.7699018527319</v>
      </c>
      <c r="DY48">
        <f t="shared" si="23"/>
        <v>6062.8130532059986</v>
      </c>
      <c r="DZ48">
        <f t="shared" si="23"/>
        <v>6789.9406850559035</v>
      </c>
      <c r="EA48">
        <f t="shared" si="23"/>
        <v>6515.2733322799531</v>
      </c>
      <c r="EB48">
        <f t="shared" si="23"/>
        <v>5249.8207049958455</v>
      </c>
      <c r="EC48">
        <f t="shared" si="23"/>
        <v>3260.0191625697653</v>
      </c>
      <c r="ED48">
        <f t="shared" si="23"/>
        <v>1330.1076386683196</v>
      </c>
      <c r="EE48">
        <f t="shared" si="23"/>
        <v>138.34267842294361</v>
      </c>
      <c r="EF48">
        <f t="shared" si="23"/>
        <v>0</v>
      </c>
      <c r="EG48">
        <f t="shared" si="24"/>
        <v>14.94074607099224</v>
      </c>
      <c r="EH48">
        <f t="shared" si="24"/>
        <v>772.77374129785153</v>
      </c>
      <c r="EI48">
        <f t="shared" si="24"/>
        <v>2362.6432073403189</v>
      </c>
      <c r="EJ48">
        <f t="shared" si="24"/>
        <v>4468.8421211519817</v>
      </c>
      <c r="EK48">
        <f t="shared" si="24"/>
        <v>6063.4162859204862</v>
      </c>
      <c r="EL48">
        <f t="shared" si="24"/>
        <v>6790.2644065404584</v>
      </c>
      <c r="EM48">
        <f t="shared" si="24"/>
        <v>6515.7071675853258</v>
      </c>
      <c r="EN48">
        <f t="shared" si="24"/>
        <v>5250.686183128455</v>
      </c>
      <c r="EO48">
        <f t="shared" si="24"/>
        <v>3261.3270831712093</v>
      </c>
      <c r="EP48">
        <f t="shared" si="24"/>
        <v>1331.4780242527868</v>
      </c>
      <c r="EQ48">
        <f t="shared" si="24"/>
        <v>139.01063033925897</v>
      </c>
      <c r="ER48">
        <f t="shared" si="24"/>
        <v>0</v>
      </c>
    </row>
    <row r="49" spans="2:148" x14ac:dyDescent="0.2">
      <c r="B49" s="179">
        <v>0.375</v>
      </c>
      <c r="C49">
        <f t="shared" si="26"/>
        <v>45</v>
      </c>
      <c r="D49">
        <f t="shared" si="25"/>
        <v>0.78539816339744828</v>
      </c>
      <c r="E49">
        <f t="shared" si="13"/>
        <v>7.8540328761501002</v>
      </c>
      <c r="F49">
        <f t="shared" si="13"/>
        <v>15.048313037149128</v>
      </c>
      <c r="G49">
        <f t="shared" si="13"/>
        <v>24.09040351492763</v>
      </c>
      <c r="H49">
        <f t="shared" si="13"/>
        <v>34.335346241385125</v>
      </c>
      <c r="I49">
        <f t="shared" si="13"/>
        <v>42.080770397607225</v>
      </c>
      <c r="J49">
        <f t="shared" si="13"/>
        <v>45.809759442364204</v>
      </c>
      <c r="K49">
        <f t="shared" si="13"/>
        <v>44.389097409785975</v>
      </c>
      <c r="L49">
        <f t="shared" si="13"/>
        <v>38.085522308713095</v>
      </c>
      <c r="M49">
        <f t="shared" si="13"/>
        <v>28.504245663932863</v>
      </c>
      <c r="N49">
        <f t="shared" si="13"/>
        <v>18.436480975652344</v>
      </c>
      <c r="O49">
        <f t="shared" si="13"/>
        <v>9.9054398204220604</v>
      </c>
      <c r="P49">
        <f t="shared" si="13"/>
        <v>5.9654569101125361</v>
      </c>
      <c r="Q49">
        <f t="shared" si="14"/>
        <v>3.122921653341987</v>
      </c>
      <c r="R49">
        <f t="shared" si="14"/>
        <v>3.237920058296559</v>
      </c>
      <c r="S49">
        <f t="shared" si="14"/>
        <v>3.3942842135518836</v>
      </c>
      <c r="T49">
        <f t="shared" si="14"/>
        <v>3.5517610366113948</v>
      </c>
      <c r="U49">
        <f t="shared" si="14"/>
        <v>3.6672692632665362</v>
      </c>
      <c r="V49">
        <f t="shared" si="14"/>
        <v>3.7103751499862381</v>
      </c>
      <c r="W49">
        <f t="shared" si="14"/>
        <v>3.6694045223150238</v>
      </c>
      <c r="X49">
        <f t="shared" si="14"/>
        <v>3.5552300413663263</v>
      </c>
      <c r="Y49">
        <f t="shared" si="14"/>
        <v>3.3983671256945458</v>
      </c>
      <c r="Z49">
        <f t="shared" si="14"/>
        <v>3.2410541966618407</v>
      </c>
      <c r="AA49">
        <f t="shared" si="14"/>
        <v>3.1248192550322056</v>
      </c>
      <c r="AB49">
        <f t="shared" si="14"/>
        <v>3.0815181938167675</v>
      </c>
      <c r="AC49">
        <f t="shared" si="15"/>
        <v>6.3269604767705157E-2</v>
      </c>
      <c r="AD49">
        <f t="shared" si="15"/>
        <v>7.7544990110137296E-2</v>
      </c>
      <c r="AE49">
        <f t="shared" si="15"/>
        <v>8.6702554945974231E-2</v>
      </c>
      <c r="AF49">
        <f t="shared" si="15"/>
        <v>9.1390643826615325E-2</v>
      </c>
      <c r="AG49">
        <f t="shared" si="15"/>
        <v>9.3923700231576507E-2</v>
      </c>
      <c r="AH49">
        <f t="shared" si="15"/>
        <v>9.5104495360368857E-2</v>
      </c>
      <c r="AI49">
        <f t="shared" si="15"/>
        <v>9.4658573639854332E-2</v>
      </c>
      <c r="AJ49">
        <f t="shared" si="15"/>
        <v>9.2637600950435273E-2</v>
      </c>
      <c r="AK49">
        <f t="shared" si="15"/>
        <v>8.9114696664051196E-2</v>
      </c>
      <c r="AL49">
        <f t="shared" si="15"/>
        <v>8.1869046370310422E-2</v>
      </c>
      <c r="AM49">
        <f t="shared" si="15"/>
        <v>6.8153390471519693E-2</v>
      </c>
      <c r="AN49">
        <f t="shared" si="15"/>
        <v>5.8129473507514642E-2</v>
      </c>
      <c r="AO49">
        <f t="shared" si="16"/>
        <v>6.0905680978121515</v>
      </c>
      <c r="AP49">
        <f t="shared" si="16"/>
        <v>3.4823213621810836</v>
      </c>
      <c r="AQ49">
        <f t="shared" si="16"/>
        <v>2.2949254802667403</v>
      </c>
      <c r="AR49">
        <f t="shared" si="16"/>
        <v>1.690181973537271</v>
      </c>
      <c r="AS49">
        <f t="shared" si="16"/>
        <v>1.4330598808575989</v>
      </c>
      <c r="AT49">
        <f t="shared" si="16"/>
        <v>1.3429110596338267</v>
      </c>
      <c r="AU49">
        <f t="shared" si="16"/>
        <v>1.3752253727384622</v>
      </c>
      <c r="AV49">
        <f t="shared" si="16"/>
        <v>1.5516759268773426</v>
      </c>
      <c r="AW49">
        <f t="shared" si="16"/>
        <v>1.9809289158178098</v>
      </c>
      <c r="AX49">
        <f t="shared" si="16"/>
        <v>2.9087200582518986</v>
      </c>
      <c r="AY49">
        <f t="shared" si="16"/>
        <v>5.0111646672277388</v>
      </c>
      <c r="AZ49">
        <f t="shared" si="16"/>
        <v>7.6058681625288207</v>
      </c>
      <c r="BA49">
        <f t="shared" si="17"/>
        <v>0.13635233334571967</v>
      </c>
      <c r="BB49">
        <f t="shared" si="17"/>
        <v>0.2593643300765982</v>
      </c>
      <c r="BC49">
        <f t="shared" si="17"/>
        <v>0.40795217320964694</v>
      </c>
      <c r="BD49">
        <f t="shared" si="17"/>
        <v>0.56386995982233035</v>
      </c>
      <c r="BE49">
        <f t="shared" si="17"/>
        <v>0.67006437327050572</v>
      </c>
      <c r="BF49">
        <f t="shared" si="17"/>
        <v>0.71694387511549285</v>
      </c>
      <c r="BG49">
        <f t="shared" si="17"/>
        <v>0.699431130876917</v>
      </c>
      <c r="BH49">
        <f t="shared" si="17"/>
        <v>0.61669597363637652</v>
      </c>
      <c r="BI49">
        <f t="shared" si="17"/>
        <v>0.47702293481477565</v>
      </c>
      <c r="BJ49">
        <f t="shared" si="17"/>
        <v>0.31599938353821666</v>
      </c>
      <c r="BK49">
        <f t="shared" si="17"/>
        <v>0.17173262151926749</v>
      </c>
      <c r="BL49">
        <f t="shared" si="17"/>
        <v>0.10362487999404679</v>
      </c>
      <c r="BM49" s="180">
        <f t="shared" si="18"/>
        <v>0.13664983827610541</v>
      </c>
      <c r="BN49" s="180">
        <f t="shared" si="18"/>
        <v>0.25963344248455023</v>
      </c>
      <c r="BO49" s="180">
        <f t="shared" si="18"/>
        <v>0.40817756381994064</v>
      </c>
      <c r="BP49" s="180">
        <f t="shared" si="18"/>
        <v>0.56403556855958936</v>
      </c>
      <c r="BQ49" s="180">
        <f t="shared" si="18"/>
        <v>0.6701775593653635</v>
      </c>
      <c r="BR49" s="180">
        <f t="shared" si="18"/>
        <v>0.71702934845093358</v>
      </c>
      <c r="BS49" s="180">
        <f t="shared" si="18"/>
        <v>0.69952737363013084</v>
      </c>
      <c r="BT49" s="180">
        <f t="shared" si="18"/>
        <v>0.61683701004232561</v>
      </c>
      <c r="BU49" s="180">
        <f t="shared" si="18"/>
        <v>0.47722388001342497</v>
      </c>
      <c r="BV49" s="180">
        <f t="shared" si="18"/>
        <v>0.31625313474799677</v>
      </c>
      <c r="BW49" s="180">
        <f t="shared" si="18"/>
        <v>0.17202262851952801</v>
      </c>
      <c r="BX49" s="180">
        <f t="shared" si="18"/>
        <v>0.10392885635284993</v>
      </c>
      <c r="BY49" s="180">
        <f t="shared" si="19"/>
        <v>0.13664983827610541</v>
      </c>
      <c r="BZ49" s="180">
        <f t="shared" si="19"/>
        <v>0.25963344248455023</v>
      </c>
      <c r="CA49" s="180">
        <f t="shared" si="19"/>
        <v>0.40817756381994064</v>
      </c>
      <c r="CB49" s="180">
        <f t="shared" si="19"/>
        <v>0.56403556855958936</v>
      </c>
      <c r="CC49" s="180">
        <f t="shared" si="19"/>
        <v>0.6701775593653635</v>
      </c>
      <c r="CD49" s="180">
        <f t="shared" si="19"/>
        <v>0.71702934845093358</v>
      </c>
      <c r="CE49" s="180">
        <f t="shared" si="19"/>
        <v>0.69952737363013084</v>
      </c>
      <c r="CF49" s="180">
        <f t="shared" si="19"/>
        <v>0.61683701004232561</v>
      </c>
      <c r="CG49" s="180">
        <f t="shared" si="19"/>
        <v>0.47722388001342497</v>
      </c>
      <c r="CH49" s="180">
        <f t="shared" si="19"/>
        <v>0.31625313474799677</v>
      </c>
      <c r="CI49" s="180">
        <f t="shared" si="19"/>
        <v>0.17202262851952801</v>
      </c>
      <c r="CJ49" s="180">
        <f t="shared" si="19"/>
        <v>0.10392885635284993</v>
      </c>
      <c r="CK49">
        <f t="shared" si="20"/>
        <v>419.08597177508966</v>
      </c>
      <c r="CL49">
        <f t="shared" si="20"/>
        <v>577.46136378885683</v>
      </c>
      <c r="CM49">
        <f t="shared" si="20"/>
        <v>695.27562864993138</v>
      </c>
      <c r="CN49">
        <f t="shared" si="20"/>
        <v>775.63503101877541</v>
      </c>
      <c r="CO49">
        <f t="shared" si="20"/>
        <v>807.25817936319675</v>
      </c>
      <c r="CP49">
        <f t="shared" si="20"/>
        <v>815.67151724102018</v>
      </c>
      <c r="CQ49">
        <f t="shared" si="20"/>
        <v>812.21752199702451</v>
      </c>
      <c r="CR49">
        <f t="shared" si="20"/>
        <v>792.32282808052764</v>
      </c>
      <c r="CS49">
        <f t="shared" si="20"/>
        <v>736.04343464991337</v>
      </c>
      <c r="CT49">
        <f t="shared" si="20"/>
        <v>630.33793602749711</v>
      </c>
      <c r="CU49">
        <f t="shared" si="20"/>
        <v>476.17505156546594</v>
      </c>
      <c r="CV49">
        <f t="shared" si="20"/>
        <v>357.42496445043219</v>
      </c>
      <c r="CW49">
        <f t="shared" si="21"/>
        <v>1</v>
      </c>
      <c r="CX49">
        <f t="shared" si="21"/>
        <v>1</v>
      </c>
      <c r="CY49">
        <f t="shared" si="21"/>
        <v>1</v>
      </c>
      <c r="CZ49">
        <f t="shared" si="21"/>
        <v>1</v>
      </c>
      <c r="DA49">
        <f t="shared" si="21"/>
        <v>1</v>
      </c>
      <c r="DB49">
        <f t="shared" si="21"/>
        <v>1</v>
      </c>
      <c r="DC49">
        <f t="shared" si="21"/>
        <v>1</v>
      </c>
      <c r="DD49">
        <f t="shared" si="21"/>
        <v>1</v>
      </c>
      <c r="DE49">
        <f t="shared" si="21"/>
        <v>1</v>
      </c>
      <c r="DF49">
        <f t="shared" si="21"/>
        <v>1</v>
      </c>
      <c r="DG49">
        <f t="shared" si="21"/>
        <v>1</v>
      </c>
      <c r="DH49">
        <f t="shared" si="21"/>
        <v>1</v>
      </c>
      <c r="DI49">
        <f t="shared" si="22"/>
        <v>1</v>
      </c>
      <c r="DJ49">
        <f t="shared" si="22"/>
        <v>1</v>
      </c>
      <c r="DK49">
        <f t="shared" si="22"/>
        <v>1</v>
      </c>
      <c r="DL49">
        <f t="shared" si="22"/>
        <v>1</v>
      </c>
      <c r="DM49">
        <f t="shared" si="22"/>
        <v>1</v>
      </c>
      <c r="DN49">
        <f t="shared" si="22"/>
        <v>1</v>
      </c>
      <c r="DO49">
        <f t="shared" si="22"/>
        <v>1</v>
      </c>
      <c r="DP49">
        <f t="shared" si="22"/>
        <v>1</v>
      </c>
      <c r="DQ49">
        <f t="shared" si="22"/>
        <v>1</v>
      </c>
      <c r="DR49">
        <f t="shared" si="22"/>
        <v>1</v>
      </c>
      <c r="DS49">
        <f t="shared" si="22"/>
        <v>1</v>
      </c>
      <c r="DT49">
        <f t="shared" si="22"/>
        <v>1</v>
      </c>
      <c r="DU49">
        <f t="shared" si="23"/>
        <v>857.15025185987827</v>
      </c>
      <c r="DV49">
        <f t="shared" si="23"/>
        <v>2246.5931964632341</v>
      </c>
      <c r="DW49">
        <f t="shared" si="23"/>
        <v>4254.588055311644</v>
      </c>
      <c r="DX49">
        <f t="shared" si="23"/>
        <v>6560.3594066602327</v>
      </c>
      <c r="DY49">
        <f t="shared" si="23"/>
        <v>8113.7241903373497</v>
      </c>
      <c r="DZ49">
        <f t="shared" si="23"/>
        <v>8771.8604758816582</v>
      </c>
      <c r="EA49">
        <f t="shared" si="23"/>
        <v>8521.3532989263913</v>
      </c>
      <c r="EB49">
        <f t="shared" si="23"/>
        <v>7329.334468461725</v>
      </c>
      <c r="EC49">
        <f t="shared" si="23"/>
        <v>5266.6439902177381</v>
      </c>
      <c r="ED49">
        <f t="shared" si="23"/>
        <v>2987.7959880816143</v>
      </c>
      <c r="EE49">
        <f t="shared" si="23"/>
        <v>1226.6218486111477</v>
      </c>
      <c r="EF49">
        <f t="shared" si="23"/>
        <v>555.57178572078715</v>
      </c>
      <c r="EG49">
        <f t="shared" si="24"/>
        <v>859.02045400275722</v>
      </c>
      <c r="EH49">
        <f t="shared" si="24"/>
        <v>2248.9242267348613</v>
      </c>
      <c r="EI49">
        <f t="shared" si="24"/>
        <v>4256.9386842856011</v>
      </c>
      <c r="EJ49">
        <f t="shared" si="24"/>
        <v>6562.2861857311464</v>
      </c>
      <c r="EK49">
        <f t="shared" si="24"/>
        <v>8115.0947463503107</v>
      </c>
      <c r="EL49">
        <f t="shared" si="24"/>
        <v>8772.9062483596972</v>
      </c>
      <c r="EM49">
        <f t="shared" si="24"/>
        <v>8522.5258496842744</v>
      </c>
      <c r="EN49">
        <f t="shared" si="24"/>
        <v>7331.0106639220839</v>
      </c>
      <c r="EO49">
        <f t="shared" si="24"/>
        <v>5268.8625561305917</v>
      </c>
      <c r="EP49">
        <f t="shared" si="24"/>
        <v>2990.1952232891731</v>
      </c>
      <c r="EQ49">
        <f t="shared" si="24"/>
        <v>1228.6932600856985</v>
      </c>
      <c r="ER49">
        <f t="shared" si="24"/>
        <v>557.20151680937192</v>
      </c>
    </row>
    <row r="50" spans="2:148" x14ac:dyDescent="0.2">
      <c r="B50" s="179">
        <v>0.41666666666666702</v>
      </c>
      <c r="C50">
        <f>C49-15</f>
        <v>30</v>
      </c>
      <c r="D50">
        <f t="shared" si="25"/>
        <v>0.52359877559829882</v>
      </c>
      <c r="E50">
        <f t="shared" si="13"/>
        <v>13.316628769825812</v>
      </c>
      <c r="F50">
        <f t="shared" si="13"/>
        <v>20.946508043637465</v>
      </c>
      <c r="G50">
        <f t="shared" si="13"/>
        <v>30.56652292939166</v>
      </c>
      <c r="H50">
        <f t="shared" si="13"/>
        <v>41.548543805416656</v>
      </c>
      <c r="I50">
        <f t="shared" si="13"/>
        <v>49.947040714950639</v>
      </c>
      <c r="J50">
        <f t="shared" si="13"/>
        <v>54.029780994293972</v>
      </c>
      <c r="K50">
        <f t="shared" si="13"/>
        <v>52.471105873504882</v>
      </c>
      <c r="L50">
        <f t="shared" si="13"/>
        <v>45.602245905990749</v>
      </c>
      <c r="M50">
        <f t="shared" si="13"/>
        <v>35.284046804378335</v>
      </c>
      <c r="N50">
        <f t="shared" si="13"/>
        <v>24.54582603252625</v>
      </c>
      <c r="O50">
        <f t="shared" si="13"/>
        <v>15.491070792802432</v>
      </c>
      <c r="P50">
        <f t="shared" si="13"/>
        <v>11.315182696681362</v>
      </c>
      <c r="Q50">
        <f t="shared" si="14"/>
        <v>3.1279746883966673</v>
      </c>
      <c r="R50">
        <f t="shared" si="14"/>
        <v>3.243376033204318</v>
      </c>
      <c r="S50">
        <f t="shared" si="14"/>
        <v>3.400274782698224</v>
      </c>
      <c r="T50">
        <f t="shared" si="14"/>
        <v>3.5584334211071216</v>
      </c>
      <c r="U50">
        <f t="shared" si="14"/>
        <v>3.6745457560616819</v>
      </c>
      <c r="V50">
        <f t="shared" si="14"/>
        <v>3.7179788713415398</v>
      </c>
      <c r="W50">
        <f t="shared" si="14"/>
        <v>3.6768805781819189</v>
      </c>
      <c r="X50">
        <f t="shared" si="14"/>
        <v>3.5621831948802729</v>
      </c>
      <c r="Y50">
        <f t="shared" si="14"/>
        <v>3.4046386078787019</v>
      </c>
      <c r="Z50">
        <f t="shared" si="14"/>
        <v>3.2467054905401338</v>
      </c>
      <c r="AA50">
        <f t="shared" si="14"/>
        <v>3.1299861005494845</v>
      </c>
      <c r="AB50">
        <f t="shared" si="14"/>
        <v>3.0864668212566544</v>
      </c>
      <c r="AC50">
        <f t="shared" si="15"/>
        <v>7.4800984567367945E-2</v>
      </c>
      <c r="AD50">
        <f t="shared" si="15"/>
        <v>8.4324594717024942E-2</v>
      </c>
      <c r="AE50">
        <f t="shared" si="15"/>
        <v>8.9998446263546639E-2</v>
      </c>
      <c r="AF50">
        <f t="shared" si="15"/>
        <v>9.3753263598253367E-2</v>
      </c>
      <c r="AG50">
        <f t="shared" si="15"/>
        <v>9.6337807974269357E-2</v>
      </c>
      <c r="AH50">
        <f t="shared" si="15"/>
        <v>9.736917506652483E-2</v>
      </c>
      <c r="AI50">
        <f t="shared" si="15"/>
        <v>9.7005027184269746E-2</v>
      </c>
      <c r="AJ50">
        <f t="shared" si="15"/>
        <v>9.503981413882201E-2</v>
      </c>
      <c r="AK50">
        <f t="shared" si="15"/>
        <v>9.1713799138708141E-2</v>
      </c>
      <c r="AL50">
        <f t="shared" si="15"/>
        <v>8.6994527243149877E-2</v>
      </c>
      <c r="AM50">
        <f t="shared" si="15"/>
        <v>7.8184991367938578E-2</v>
      </c>
      <c r="AN50">
        <f t="shared" si="15"/>
        <v>7.1112969193541875E-2</v>
      </c>
      <c r="AO50">
        <f t="shared" si="16"/>
        <v>3.8780527270695573</v>
      </c>
      <c r="AP50">
        <f t="shared" si="16"/>
        <v>2.5970842709473696</v>
      </c>
      <c r="AQ50">
        <f t="shared" si="16"/>
        <v>1.8651891277966062</v>
      </c>
      <c r="AR50">
        <f t="shared" si="16"/>
        <v>1.4474196355411169</v>
      </c>
      <c r="AS50">
        <f t="shared" si="16"/>
        <v>1.260958565225508</v>
      </c>
      <c r="AT50">
        <f t="shared" si="16"/>
        <v>1.1949169610454866</v>
      </c>
      <c r="AU50">
        <f t="shared" si="16"/>
        <v>1.2185904714221687</v>
      </c>
      <c r="AV50">
        <f t="shared" si="16"/>
        <v>1.3474864562798448</v>
      </c>
      <c r="AW50">
        <f t="shared" si="16"/>
        <v>1.6522087095675704</v>
      </c>
      <c r="AX50">
        <f t="shared" si="16"/>
        <v>2.2573887250771048</v>
      </c>
      <c r="AY50">
        <f t="shared" si="16"/>
        <v>3.3941983226702352</v>
      </c>
      <c r="AZ50">
        <f t="shared" si="16"/>
        <v>4.469563165658454</v>
      </c>
      <c r="BA50">
        <f t="shared" si="17"/>
        <v>0.22999025071799323</v>
      </c>
      <c r="BB50">
        <f t="shared" si="17"/>
        <v>0.35718068400742575</v>
      </c>
      <c r="BC50">
        <f t="shared" si="17"/>
        <v>0.5082654388528105</v>
      </c>
      <c r="BD50">
        <f t="shared" si="17"/>
        <v>0.66304171450383032</v>
      </c>
      <c r="BE50">
        <f t="shared" si="17"/>
        <v>0.76529162407744644</v>
      </c>
      <c r="BF50">
        <f t="shared" si="17"/>
        <v>0.80919317287577264</v>
      </c>
      <c r="BG50">
        <f t="shared" si="17"/>
        <v>0.79290566279226815</v>
      </c>
      <c r="BH50">
        <f t="shared" si="17"/>
        <v>0.71431276671390487</v>
      </c>
      <c r="BI50">
        <f t="shared" si="17"/>
        <v>0.57738181256011878</v>
      </c>
      <c r="BJ50">
        <f t="shared" si="17"/>
        <v>0.4151201444904834</v>
      </c>
      <c r="BK50">
        <f t="shared" si="17"/>
        <v>0.26675311953772285</v>
      </c>
      <c r="BL50">
        <f t="shared" si="17"/>
        <v>0.19585826394180628</v>
      </c>
      <c r="BM50" s="180">
        <f t="shared" si="18"/>
        <v>0.23033217006993129</v>
      </c>
      <c r="BN50" s="180">
        <f t="shared" si="18"/>
        <v>0.35749619275673289</v>
      </c>
      <c r="BO50" s="180">
        <f t="shared" si="18"/>
        <v>0.50853841014187784</v>
      </c>
      <c r="BP50" s="180">
        <f t="shared" si="18"/>
        <v>0.66325436247735259</v>
      </c>
      <c r="BQ50" s="180">
        <f t="shared" si="18"/>
        <v>0.7654499784479265</v>
      </c>
      <c r="BR50" s="180">
        <f t="shared" si="18"/>
        <v>0.80932240198145688</v>
      </c>
      <c r="BS50" s="180">
        <f t="shared" si="18"/>
        <v>0.79304624246989674</v>
      </c>
      <c r="BT50" s="180">
        <f t="shared" si="18"/>
        <v>0.71450010480532478</v>
      </c>
      <c r="BU50" s="180">
        <f t="shared" si="18"/>
        <v>0.5776303600723155</v>
      </c>
      <c r="BV50" s="180">
        <f t="shared" si="18"/>
        <v>0.41542091074913529</v>
      </c>
      <c r="BW50" s="180">
        <f t="shared" si="18"/>
        <v>0.26708819674643663</v>
      </c>
      <c r="BX50" s="180">
        <f t="shared" si="18"/>
        <v>0.1962059885225988</v>
      </c>
      <c r="BY50" s="180">
        <f t="shared" si="19"/>
        <v>0.23033217006993129</v>
      </c>
      <c r="BZ50" s="180">
        <f t="shared" si="19"/>
        <v>0.35749619275673289</v>
      </c>
      <c r="CA50" s="180">
        <f t="shared" si="19"/>
        <v>0.50853841014187784</v>
      </c>
      <c r="CB50" s="180">
        <f t="shared" si="19"/>
        <v>0.66325436247735259</v>
      </c>
      <c r="CC50" s="180">
        <f t="shared" si="19"/>
        <v>0.7654499784479265</v>
      </c>
      <c r="CD50" s="180">
        <f t="shared" si="19"/>
        <v>0.80932240198145688</v>
      </c>
      <c r="CE50" s="180">
        <f t="shared" si="19"/>
        <v>0.79304624246989674</v>
      </c>
      <c r="CF50" s="180">
        <f t="shared" si="19"/>
        <v>0.71450010480532478</v>
      </c>
      <c r="CG50" s="180">
        <f t="shared" si="19"/>
        <v>0.5776303600723155</v>
      </c>
      <c r="CH50" s="180">
        <f t="shared" si="19"/>
        <v>0.41542091074913529</v>
      </c>
      <c r="CI50" s="180">
        <f t="shared" si="19"/>
        <v>0.26708819674643663</v>
      </c>
      <c r="CJ50" s="180">
        <f t="shared" si="19"/>
        <v>0.1962059885225988</v>
      </c>
      <c r="CK50">
        <f t="shared" si="20"/>
        <v>563.47193275381858</v>
      </c>
      <c r="CL50">
        <f t="shared" si="20"/>
        <v>680.4166034978814</v>
      </c>
      <c r="CM50">
        <f t="shared" si="20"/>
        <v>771.93856960743983</v>
      </c>
      <c r="CN50">
        <f t="shared" si="20"/>
        <v>828.34586799649855</v>
      </c>
      <c r="CO50">
        <f t="shared" si="20"/>
        <v>846.30117115823862</v>
      </c>
      <c r="CP50">
        <f t="shared" si="20"/>
        <v>850.06222753573604</v>
      </c>
      <c r="CQ50">
        <f t="shared" si="20"/>
        <v>847.92987557144158</v>
      </c>
      <c r="CR50">
        <f t="shared" si="20"/>
        <v>836.99638747551751</v>
      </c>
      <c r="CS50">
        <f t="shared" si="20"/>
        <v>800.54795134745564</v>
      </c>
      <c r="CT50">
        <f t="shared" si="20"/>
        <v>720.87964347291268</v>
      </c>
      <c r="CU50">
        <f t="shared" si="20"/>
        <v>603.27742976362424</v>
      </c>
      <c r="CV50">
        <f t="shared" si="20"/>
        <v>523.3902444409681</v>
      </c>
      <c r="CW50">
        <f t="shared" si="21"/>
        <v>1</v>
      </c>
      <c r="CX50">
        <f t="shared" si="21"/>
        <v>1</v>
      </c>
      <c r="CY50">
        <f t="shared" si="21"/>
        <v>1</v>
      </c>
      <c r="CZ50">
        <f t="shared" si="21"/>
        <v>1</v>
      </c>
      <c r="DA50">
        <f t="shared" si="21"/>
        <v>1</v>
      </c>
      <c r="DB50">
        <f t="shared" si="21"/>
        <v>1</v>
      </c>
      <c r="DC50">
        <f t="shared" si="21"/>
        <v>1</v>
      </c>
      <c r="DD50">
        <f t="shared" si="21"/>
        <v>1</v>
      </c>
      <c r="DE50">
        <f t="shared" si="21"/>
        <v>1</v>
      </c>
      <c r="DF50">
        <f t="shared" si="21"/>
        <v>1</v>
      </c>
      <c r="DG50">
        <f t="shared" si="21"/>
        <v>1</v>
      </c>
      <c r="DH50">
        <f t="shared" si="21"/>
        <v>1</v>
      </c>
      <c r="DI50">
        <f t="shared" si="22"/>
        <v>1</v>
      </c>
      <c r="DJ50">
        <f t="shared" si="22"/>
        <v>1</v>
      </c>
      <c r="DK50">
        <f t="shared" si="22"/>
        <v>1</v>
      </c>
      <c r="DL50">
        <f t="shared" si="22"/>
        <v>1</v>
      </c>
      <c r="DM50">
        <f t="shared" si="22"/>
        <v>1</v>
      </c>
      <c r="DN50">
        <f t="shared" si="22"/>
        <v>1</v>
      </c>
      <c r="DO50">
        <f t="shared" si="22"/>
        <v>1</v>
      </c>
      <c r="DP50">
        <f t="shared" si="22"/>
        <v>1</v>
      </c>
      <c r="DQ50">
        <f t="shared" si="22"/>
        <v>1</v>
      </c>
      <c r="DR50">
        <f t="shared" si="22"/>
        <v>1</v>
      </c>
      <c r="DS50">
        <f t="shared" si="22"/>
        <v>1</v>
      </c>
      <c r="DT50">
        <f t="shared" si="22"/>
        <v>1</v>
      </c>
      <c r="DU50">
        <f t="shared" si="23"/>
        <v>1943.8957662990442</v>
      </c>
      <c r="DV50">
        <f t="shared" si="23"/>
        <v>3645.4750177107398</v>
      </c>
      <c r="DW50">
        <f t="shared" si="23"/>
        <v>5885.2454377340437</v>
      </c>
      <c r="DX50">
        <f t="shared" si="23"/>
        <v>8238.4179677784286</v>
      </c>
      <c r="DY50">
        <f t="shared" si="23"/>
        <v>9715.0079660150004</v>
      </c>
      <c r="DZ50">
        <f t="shared" si="23"/>
        <v>10317.968265622338</v>
      </c>
      <c r="EA50">
        <f t="shared" si="23"/>
        <v>10084.925999870089</v>
      </c>
      <c r="EB50">
        <f t="shared" si="23"/>
        <v>8968.158079007706</v>
      </c>
      <c r="EC50">
        <f t="shared" si="23"/>
        <v>6933.3274078542554</v>
      </c>
      <c r="ED50">
        <f t="shared" si="23"/>
        <v>4488.7749263808555</v>
      </c>
      <c r="EE50">
        <f t="shared" si="23"/>
        <v>2413.8920450421942</v>
      </c>
      <c r="EF50">
        <f t="shared" si="23"/>
        <v>1537.6545696042847</v>
      </c>
      <c r="EG50">
        <f t="shared" si="24"/>
        <v>1946.7856956702813</v>
      </c>
      <c r="EH50">
        <f t="shared" si="24"/>
        <v>3648.6951785844012</v>
      </c>
      <c r="EI50">
        <f t="shared" si="24"/>
        <v>5888.4061937304414</v>
      </c>
      <c r="EJ50">
        <f t="shared" si="24"/>
        <v>8241.0601588315039</v>
      </c>
      <c r="EK50">
        <f t="shared" si="24"/>
        <v>9717.018198352931</v>
      </c>
      <c r="EL50">
        <f t="shared" si="24"/>
        <v>10319.616057343945</v>
      </c>
      <c r="EM50">
        <f t="shared" si="24"/>
        <v>10086.714025498482</v>
      </c>
      <c r="EN50">
        <f t="shared" si="24"/>
        <v>8970.5100985940317</v>
      </c>
      <c r="EO50">
        <f t="shared" si="24"/>
        <v>6936.31202087978</v>
      </c>
      <c r="EP50">
        <f t="shared" si="24"/>
        <v>4492.02717048044</v>
      </c>
      <c r="EQ50">
        <f t="shared" si="24"/>
        <v>2416.9242128008723</v>
      </c>
      <c r="ER50">
        <f t="shared" si="24"/>
        <v>1540.3845044043715</v>
      </c>
    </row>
    <row r="51" spans="2:148" x14ac:dyDescent="0.2">
      <c r="B51" s="179">
        <v>0.45833333333333298</v>
      </c>
      <c r="C51">
        <f t="shared" si="26"/>
        <v>15</v>
      </c>
      <c r="D51">
        <f t="shared" si="25"/>
        <v>0.26179938779914941</v>
      </c>
      <c r="E51">
        <f t="shared" si="13"/>
        <v>16.811464585872216</v>
      </c>
      <c r="F51">
        <f t="shared" si="13"/>
        <v>24.772434193373513</v>
      </c>
      <c r="G51">
        <f t="shared" si="13"/>
        <v>34.86382065573369</v>
      </c>
      <c r="H51">
        <f t="shared" si="13"/>
        <v>46.520940576990633</v>
      </c>
      <c r="I51">
        <f t="shared" si="13"/>
        <v>55.623050811554897</v>
      </c>
      <c r="J51">
        <f t="shared" si="13"/>
        <v>60.151014107300263</v>
      </c>
      <c r="K51">
        <f t="shared" si="13"/>
        <v>58.411781481398208</v>
      </c>
      <c r="L51">
        <f t="shared" si="13"/>
        <v>50.88612823964489</v>
      </c>
      <c r="M51">
        <f t="shared" si="13"/>
        <v>39.847656830127818</v>
      </c>
      <c r="N51">
        <f t="shared" si="13"/>
        <v>28.5392308380533</v>
      </c>
      <c r="O51">
        <f t="shared" si="13"/>
        <v>19.077628407509437</v>
      </c>
      <c r="P51">
        <f t="shared" si="13"/>
        <v>14.727005227567915</v>
      </c>
      <c r="Q51">
        <f t="shared" si="14"/>
        <v>3.1312074971624186</v>
      </c>
      <c r="R51">
        <f t="shared" si="14"/>
        <v>3.2469151086416232</v>
      </c>
      <c r="S51">
        <f t="shared" si="14"/>
        <v>3.4042498883941699</v>
      </c>
      <c r="T51">
        <f t="shared" si="14"/>
        <v>3.5630330099622354</v>
      </c>
      <c r="U51">
        <f t="shared" si="14"/>
        <v>3.6797962044834778</v>
      </c>
      <c r="V51">
        <f t="shared" si="14"/>
        <v>3.7236411619630547</v>
      </c>
      <c r="W51">
        <f t="shared" si="14"/>
        <v>3.6823758486869038</v>
      </c>
      <c r="X51">
        <f t="shared" si="14"/>
        <v>3.5670709155128151</v>
      </c>
      <c r="Y51">
        <f t="shared" si="14"/>
        <v>3.4088600589771985</v>
      </c>
      <c r="Z51">
        <f t="shared" si="14"/>
        <v>3.2503994878378686</v>
      </c>
      <c r="AA51">
        <f t="shared" si="14"/>
        <v>3.1333037542265072</v>
      </c>
      <c r="AB51">
        <f t="shared" si="14"/>
        <v>3.0896228406995125</v>
      </c>
      <c r="AC51">
        <f t="shared" si="15"/>
        <v>7.9954981995041002E-2</v>
      </c>
      <c r="AD51">
        <f t="shared" si="15"/>
        <v>8.7135519470427858E-2</v>
      </c>
      <c r="AE51">
        <f t="shared" si="15"/>
        <v>9.1571551250549887E-2</v>
      </c>
      <c r="AF51">
        <f t="shared" si="15"/>
        <v>9.5324692435351382E-2</v>
      </c>
      <c r="AG51">
        <f t="shared" si="15"/>
        <v>9.7695593778620818E-2</v>
      </c>
      <c r="AH51">
        <f t="shared" si="15"/>
        <v>9.8326646735452786E-2</v>
      </c>
      <c r="AI51">
        <f t="shared" si="15"/>
        <v>9.8139144599523706E-2</v>
      </c>
      <c r="AJ51">
        <f t="shared" si="15"/>
        <v>9.6595847582979705E-2</v>
      </c>
      <c r="AK51">
        <f t="shared" si="15"/>
        <v>9.3206986364896716E-2</v>
      </c>
      <c r="AL51">
        <f t="shared" si="15"/>
        <v>8.9130701928233413E-2</v>
      </c>
      <c r="AM51">
        <f t="shared" si="15"/>
        <v>8.2550674333523311E-2</v>
      </c>
      <c r="AN51">
        <f t="shared" si="15"/>
        <v>7.7065274320997079E-2</v>
      </c>
      <c r="AO51">
        <f t="shared" si="16"/>
        <v>3.1569764202524566</v>
      </c>
      <c r="AP51">
        <f t="shared" si="16"/>
        <v>2.2392139262872943</v>
      </c>
      <c r="AQ51">
        <f t="shared" si="16"/>
        <v>1.6687623839500116</v>
      </c>
      <c r="AR51">
        <f t="shared" si="16"/>
        <v>1.327590100074808</v>
      </c>
      <c r="AS51">
        <f t="shared" si="16"/>
        <v>1.1725048263071192</v>
      </c>
      <c r="AT51">
        <f t="shared" si="16"/>
        <v>1.11757430794922</v>
      </c>
      <c r="AU51">
        <f t="shared" si="16"/>
        <v>1.1372381997366725</v>
      </c>
      <c r="AV51">
        <f t="shared" si="16"/>
        <v>1.2445809904675247</v>
      </c>
      <c r="AW51">
        <f t="shared" si="16"/>
        <v>1.4961584987588599</v>
      </c>
      <c r="AX51">
        <f t="shared" si="16"/>
        <v>1.9788251641516719</v>
      </c>
      <c r="AY51">
        <f t="shared" si="16"/>
        <v>2.8217340520256449</v>
      </c>
      <c r="AZ51">
        <f t="shared" si="16"/>
        <v>3.5493138578662164</v>
      </c>
      <c r="BA51">
        <f t="shared" si="17"/>
        <v>0.28885350635803958</v>
      </c>
      <c r="BB51">
        <f t="shared" si="17"/>
        <v>0.41867061467639277</v>
      </c>
      <c r="BC51">
        <f t="shared" si="17"/>
        <v>0.57132499384233482</v>
      </c>
      <c r="BD51">
        <f t="shared" si="17"/>
        <v>0.72538368570424505</v>
      </c>
      <c r="BE51">
        <f t="shared" si="17"/>
        <v>0.82515397648178912</v>
      </c>
      <c r="BF51">
        <f t="shared" si="17"/>
        <v>0.86718350573516167</v>
      </c>
      <c r="BG51">
        <f t="shared" si="17"/>
        <v>0.85166621004036624</v>
      </c>
      <c r="BH51">
        <f t="shared" si="17"/>
        <v>0.77567724818608119</v>
      </c>
      <c r="BI51">
        <f t="shared" si="17"/>
        <v>0.6404700405157473</v>
      </c>
      <c r="BJ51">
        <f t="shared" si="17"/>
        <v>0.47743005969260044</v>
      </c>
      <c r="BK51">
        <f t="shared" si="17"/>
        <v>0.32648550170581492</v>
      </c>
      <c r="BL51">
        <f t="shared" si="17"/>
        <v>0.25383859296043421</v>
      </c>
      <c r="BM51" s="180">
        <f t="shared" si="18"/>
        <v>0.28922334578256464</v>
      </c>
      <c r="BN51" s="180">
        <f t="shared" si="18"/>
        <v>0.4190152893851592</v>
      </c>
      <c r="BO51" s="180">
        <f t="shared" si="18"/>
        <v>0.5716278755964872</v>
      </c>
      <c r="BP51" s="180">
        <f t="shared" si="18"/>
        <v>0.7256259037778614</v>
      </c>
      <c r="BQ51" s="180">
        <f t="shared" si="18"/>
        <v>0.82534072481733589</v>
      </c>
      <c r="BR51" s="180">
        <f t="shared" si="18"/>
        <v>0.86734024086791117</v>
      </c>
      <c r="BS51" s="180">
        <f t="shared" si="18"/>
        <v>0.85183466107384465</v>
      </c>
      <c r="BT51" s="180">
        <f t="shared" si="18"/>
        <v>0.77589369273378406</v>
      </c>
      <c r="BU51" s="180">
        <f t="shared" si="18"/>
        <v>0.64074851209321604</v>
      </c>
      <c r="BV51" s="180">
        <f t="shared" si="18"/>
        <v>0.47776038084651634</v>
      </c>
      <c r="BW51" s="180">
        <f t="shared" si="18"/>
        <v>0.32684891123199544</v>
      </c>
      <c r="BX51" s="180">
        <f t="shared" si="18"/>
        <v>0.254213818823261</v>
      </c>
      <c r="BY51" s="180">
        <f t="shared" si="19"/>
        <v>0.28922334578256464</v>
      </c>
      <c r="BZ51" s="180">
        <f t="shared" si="19"/>
        <v>0.4190152893851592</v>
      </c>
      <c r="CA51" s="180">
        <f t="shared" si="19"/>
        <v>0.5716278755964872</v>
      </c>
      <c r="CB51" s="180">
        <f t="shared" si="19"/>
        <v>0.7256259037778614</v>
      </c>
      <c r="CC51" s="180">
        <f t="shared" si="19"/>
        <v>0.82534072481733589</v>
      </c>
      <c r="CD51" s="180">
        <f t="shared" si="19"/>
        <v>0.86734024086791117</v>
      </c>
      <c r="CE51" s="180">
        <f t="shared" si="19"/>
        <v>0.85183466107384465</v>
      </c>
      <c r="CF51" s="180">
        <f t="shared" si="19"/>
        <v>0.77589369273378406</v>
      </c>
      <c r="CG51" s="180">
        <f t="shared" si="19"/>
        <v>0.64074851209321604</v>
      </c>
      <c r="CH51" s="180">
        <f t="shared" si="19"/>
        <v>0.47776038084651634</v>
      </c>
      <c r="CI51" s="180">
        <f t="shared" si="19"/>
        <v>0.32684891123199544</v>
      </c>
      <c r="CJ51" s="180">
        <f t="shared" si="19"/>
        <v>0.254213818823261</v>
      </c>
      <c r="CK51">
        <f t="shared" si="20"/>
        <v>633.41152865327115</v>
      </c>
      <c r="CL51">
        <f t="shared" si="20"/>
        <v>734.71033376332412</v>
      </c>
      <c r="CM51">
        <f t="shared" si="20"/>
        <v>811.9849007785366</v>
      </c>
      <c r="CN51">
        <f t="shared" si="20"/>
        <v>855.25694406036428</v>
      </c>
      <c r="CO51">
        <f t="shared" si="20"/>
        <v>867.60484458466215</v>
      </c>
      <c r="CP51">
        <f t="shared" si="20"/>
        <v>870.18710655696225</v>
      </c>
      <c r="CQ51">
        <f t="shared" si="20"/>
        <v>868.23179141278194</v>
      </c>
      <c r="CR51">
        <f t="shared" si="20"/>
        <v>860.20622223208534</v>
      </c>
      <c r="CS51">
        <f t="shared" si="20"/>
        <v>833.66252106478555</v>
      </c>
      <c r="CT51">
        <f t="shared" si="20"/>
        <v>768.75745853110516</v>
      </c>
      <c r="CU51">
        <f t="shared" si="20"/>
        <v>667.2327836844031</v>
      </c>
      <c r="CV51">
        <f t="shared" si="20"/>
        <v>599.58698272180516</v>
      </c>
      <c r="CW51">
        <f t="shared" si="21"/>
        <v>1</v>
      </c>
      <c r="CX51">
        <f t="shared" si="21"/>
        <v>1</v>
      </c>
      <c r="CY51">
        <f t="shared" si="21"/>
        <v>1</v>
      </c>
      <c r="CZ51">
        <f t="shared" si="21"/>
        <v>1</v>
      </c>
      <c r="DA51">
        <f t="shared" si="21"/>
        <v>1</v>
      </c>
      <c r="DB51">
        <f t="shared" si="21"/>
        <v>1</v>
      </c>
      <c r="DC51">
        <f t="shared" si="21"/>
        <v>1</v>
      </c>
      <c r="DD51">
        <f t="shared" si="21"/>
        <v>1</v>
      </c>
      <c r="DE51">
        <f t="shared" si="21"/>
        <v>1</v>
      </c>
      <c r="DF51">
        <f t="shared" si="21"/>
        <v>1</v>
      </c>
      <c r="DG51">
        <f t="shared" si="21"/>
        <v>1</v>
      </c>
      <c r="DH51">
        <f t="shared" si="21"/>
        <v>1</v>
      </c>
      <c r="DI51">
        <f t="shared" si="22"/>
        <v>1</v>
      </c>
      <c r="DJ51">
        <f t="shared" si="22"/>
        <v>1</v>
      </c>
      <c r="DK51">
        <f t="shared" si="22"/>
        <v>1</v>
      </c>
      <c r="DL51">
        <f t="shared" si="22"/>
        <v>1</v>
      </c>
      <c r="DM51">
        <f t="shared" si="22"/>
        <v>1</v>
      </c>
      <c r="DN51">
        <f t="shared" si="22"/>
        <v>1</v>
      </c>
      <c r="DO51">
        <f t="shared" si="22"/>
        <v>1</v>
      </c>
      <c r="DP51">
        <f t="shared" si="22"/>
        <v>1</v>
      </c>
      <c r="DQ51">
        <f t="shared" si="22"/>
        <v>1</v>
      </c>
      <c r="DR51">
        <f t="shared" si="22"/>
        <v>1</v>
      </c>
      <c r="DS51">
        <f t="shared" si="22"/>
        <v>1</v>
      </c>
      <c r="DT51">
        <f t="shared" si="22"/>
        <v>1</v>
      </c>
      <c r="DU51">
        <f t="shared" si="23"/>
        <v>2744.4471152865485</v>
      </c>
      <c r="DV51">
        <f t="shared" si="23"/>
        <v>4614.0244056868287</v>
      </c>
      <c r="DW51">
        <f t="shared" si="23"/>
        <v>6958.6090265604944</v>
      </c>
      <c r="DX51">
        <f t="shared" si="23"/>
        <v>9305.8415145998461</v>
      </c>
      <c r="DY51">
        <f t="shared" si="23"/>
        <v>10738.613812858479</v>
      </c>
      <c r="DZ51">
        <f t="shared" si="23"/>
        <v>11319.178585644047</v>
      </c>
      <c r="EA51">
        <f t="shared" si="23"/>
        <v>11091.655188436227</v>
      </c>
      <c r="EB51">
        <f t="shared" si="23"/>
        <v>10008.635930002927</v>
      </c>
      <c r="EC51">
        <f t="shared" si="23"/>
        <v>8009.0380296423491</v>
      </c>
      <c r="ED51">
        <f t="shared" si="23"/>
        <v>5505.4187897345601</v>
      </c>
      <c r="EE51">
        <f t="shared" si="23"/>
        <v>3267.6274520365473</v>
      </c>
      <c r="EF51">
        <f t="shared" si="23"/>
        <v>2282.974740772428</v>
      </c>
      <c r="EG51">
        <f t="shared" si="24"/>
        <v>2747.9610236152184</v>
      </c>
      <c r="EH51">
        <f t="shared" si="24"/>
        <v>4617.8229467415922</v>
      </c>
      <c r="EI51">
        <f t="shared" si="24"/>
        <v>6962.29805772689</v>
      </c>
      <c r="EJ51">
        <f t="shared" si="24"/>
        <v>9308.9488949414063</v>
      </c>
      <c r="EK51">
        <f t="shared" si="24"/>
        <v>10741.044169268058</v>
      </c>
      <c r="EL51">
        <f t="shared" si="24"/>
        <v>11321.224419018996</v>
      </c>
      <c r="EM51">
        <f t="shared" si="24"/>
        <v>11093.849006574661</v>
      </c>
      <c r="EN51">
        <f t="shared" si="24"/>
        <v>10011.428734203462</v>
      </c>
      <c r="EO51">
        <f t="shared" si="24"/>
        <v>8012.5202994021101</v>
      </c>
      <c r="EP51">
        <f t="shared" si="24"/>
        <v>5509.2278424963115</v>
      </c>
      <c r="EQ51">
        <f t="shared" si="24"/>
        <v>3271.26463328311</v>
      </c>
      <c r="ER51">
        <f t="shared" si="24"/>
        <v>2286.3494489164004</v>
      </c>
    </row>
    <row r="52" spans="2:148" x14ac:dyDescent="0.2">
      <c r="B52" s="179">
        <v>0.5</v>
      </c>
      <c r="C52">
        <f t="shared" si="26"/>
        <v>0</v>
      </c>
      <c r="D52">
        <f t="shared" si="25"/>
        <v>0</v>
      </c>
      <c r="E52">
        <f t="shared" si="13"/>
        <v>18.017654570620266</v>
      </c>
      <c r="F52">
        <f t="shared" si="13"/>
        <v>26.103773155614704</v>
      </c>
      <c r="G52">
        <f t="shared" si="13"/>
        <v>36.380614012019286</v>
      </c>
      <c r="H52">
        <f t="shared" si="13"/>
        <v>48.322527137317508</v>
      </c>
      <c r="I52">
        <f t="shared" si="13"/>
        <v>57.754351162948431</v>
      </c>
      <c r="J52">
        <f t="shared" si="13"/>
        <v>62.514671880022014</v>
      </c>
      <c r="K52">
        <f t="shared" si="13"/>
        <v>60.678584653012635</v>
      </c>
      <c r="L52">
        <f t="shared" si="13"/>
        <v>52.828817090250595</v>
      </c>
      <c r="M52">
        <f t="shared" si="13"/>
        <v>41.473757103981121</v>
      </c>
      <c r="N52">
        <f t="shared" si="13"/>
        <v>29.935397317588247</v>
      </c>
      <c r="O52">
        <f t="shared" si="13"/>
        <v>20.318115907452011</v>
      </c>
      <c r="P52">
        <f t="shared" si="13"/>
        <v>15.902382467122933</v>
      </c>
      <c r="Q52">
        <f t="shared" si="14"/>
        <v>3.1323232524542557</v>
      </c>
      <c r="R52">
        <f t="shared" si="14"/>
        <v>3.2481466298042365</v>
      </c>
      <c r="S52">
        <f t="shared" si="14"/>
        <v>3.4056529594155664</v>
      </c>
      <c r="T52">
        <f t="shared" si="14"/>
        <v>3.5646995216758164</v>
      </c>
      <c r="U52">
        <f t="shared" si="14"/>
        <v>3.6817677095329562</v>
      </c>
      <c r="V52">
        <f t="shared" si="14"/>
        <v>3.7258276033208455</v>
      </c>
      <c r="W52">
        <f t="shared" si="14"/>
        <v>3.6844726971653876</v>
      </c>
      <c r="X52">
        <f t="shared" si="14"/>
        <v>3.5688679503024123</v>
      </c>
      <c r="Y52">
        <f t="shared" si="14"/>
        <v>3.4103642415757536</v>
      </c>
      <c r="Z52">
        <f t="shared" si="14"/>
        <v>3.2516909760424832</v>
      </c>
      <c r="AA52">
        <f t="shared" si="14"/>
        <v>3.1344512355603102</v>
      </c>
      <c r="AB52">
        <f t="shared" si="14"/>
        <v>3.090710093447024</v>
      </c>
      <c r="AC52">
        <f t="shared" si="15"/>
        <v>8.1401982019301961E-2</v>
      </c>
      <c r="AD52">
        <f t="shared" si="15"/>
        <v>8.7910758209574502E-2</v>
      </c>
      <c r="AE52">
        <f t="shared" si="15"/>
        <v>9.2079587512078204E-2</v>
      </c>
      <c r="AF52">
        <f t="shared" si="15"/>
        <v>9.5869267287890275E-2</v>
      </c>
      <c r="AG52">
        <f t="shared" si="15"/>
        <v>9.8050129729797569E-2</v>
      </c>
      <c r="AH52">
        <f t="shared" si="15"/>
        <v>9.847092582060249E-2</v>
      </c>
      <c r="AI52">
        <f t="shared" si="15"/>
        <v>9.8369717730181438E-2</v>
      </c>
      <c r="AJ52">
        <f t="shared" si="15"/>
        <v>9.7092194282377392E-2</v>
      </c>
      <c r="AK52">
        <f t="shared" si="15"/>
        <v>9.3729294307311001E-2</v>
      </c>
      <c r="AL52">
        <f t="shared" si="15"/>
        <v>8.9739893805843796E-2</v>
      </c>
      <c r="AM52">
        <f t="shared" si="15"/>
        <v>8.3761684383408475E-2</v>
      </c>
      <c r="AN52">
        <f t="shared" si="15"/>
        <v>7.8758213101285918E-2</v>
      </c>
      <c r="AO52">
        <f t="shared" si="16"/>
        <v>2.9686870688268465</v>
      </c>
      <c r="AP52">
        <f t="shared" si="16"/>
        <v>2.1386926202977787</v>
      </c>
      <c r="AQ52">
        <f t="shared" si="16"/>
        <v>1.6109027461109791</v>
      </c>
      <c r="AR52">
        <f t="shared" si="16"/>
        <v>1.2911411457495086</v>
      </c>
      <c r="AS52">
        <f t="shared" si="16"/>
        <v>1.1451230172539926</v>
      </c>
      <c r="AT52">
        <f t="shared" si="16"/>
        <v>1.0934564488793375</v>
      </c>
      <c r="AU52">
        <f t="shared" si="16"/>
        <v>1.1119388025406276</v>
      </c>
      <c r="AV52">
        <f t="shared" si="16"/>
        <v>1.2129975375109281</v>
      </c>
      <c r="AW52">
        <f t="shared" si="16"/>
        <v>1.4494702114712454</v>
      </c>
      <c r="AX52">
        <f t="shared" si="16"/>
        <v>1.8989012121652893</v>
      </c>
      <c r="AY52">
        <f t="shared" si="16"/>
        <v>2.6682292845595508</v>
      </c>
      <c r="AZ52">
        <f t="shared" si="16"/>
        <v>3.3163943159821581</v>
      </c>
      <c r="BA52">
        <f t="shared" si="17"/>
        <v>0.30893066667011909</v>
      </c>
      <c r="BB52">
        <f t="shared" si="17"/>
        <v>0.43964368492532424</v>
      </c>
      <c r="BC52">
        <f t="shared" si="17"/>
        <v>0.59283343371652575</v>
      </c>
      <c r="BD52">
        <f t="shared" si="17"/>
        <v>0.74664737111124513</v>
      </c>
      <c r="BE52">
        <f t="shared" si="17"/>
        <v>0.8455719100943927</v>
      </c>
      <c r="BF52">
        <f t="shared" si="17"/>
        <v>0.88696292834284884</v>
      </c>
      <c r="BG52">
        <f t="shared" si="17"/>
        <v>0.87170833843264928</v>
      </c>
      <c r="BH52">
        <f t="shared" si="17"/>
        <v>0.79660753005017737</v>
      </c>
      <c r="BI52">
        <f t="shared" si="17"/>
        <v>0.66198826020471135</v>
      </c>
      <c r="BJ52">
        <f t="shared" si="17"/>
        <v>0.49868281139554715</v>
      </c>
      <c r="BK52">
        <f t="shared" si="17"/>
        <v>0.34685910489121685</v>
      </c>
      <c r="BL52">
        <f t="shared" si="17"/>
        <v>0.2736146034443353</v>
      </c>
      <c r="BM52" s="180">
        <f t="shared" si="18"/>
        <v>0.309310029111459</v>
      </c>
      <c r="BN52" s="180">
        <f t="shared" si="18"/>
        <v>0.43999830759971637</v>
      </c>
      <c r="BO52" s="180">
        <f t="shared" si="18"/>
        <v>0.59314651737330804</v>
      </c>
      <c r="BP52" s="180">
        <f t="shared" si="18"/>
        <v>0.74689967499533139</v>
      </c>
      <c r="BQ52" s="180">
        <f t="shared" si="18"/>
        <v>0.84576834308265436</v>
      </c>
      <c r="BR52" s="180">
        <f t="shared" si="18"/>
        <v>0.88712904526919645</v>
      </c>
      <c r="BS52" s="180">
        <f t="shared" si="18"/>
        <v>0.87188629586657107</v>
      </c>
      <c r="BT52" s="180">
        <f t="shared" si="18"/>
        <v>0.79683390226808049</v>
      </c>
      <c r="BU52" s="180">
        <f t="shared" si="18"/>
        <v>0.6622769383235807</v>
      </c>
      <c r="BV52" s="180">
        <f t="shared" si="18"/>
        <v>0.49902321317384835</v>
      </c>
      <c r="BW52" s="180">
        <f t="shared" si="18"/>
        <v>0.34723217804326395</v>
      </c>
      <c r="BX52" s="180">
        <f t="shared" si="18"/>
        <v>0.27399920948231882</v>
      </c>
      <c r="BY52" s="180">
        <f t="shared" si="19"/>
        <v>0.309310029111459</v>
      </c>
      <c r="BZ52" s="180">
        <f t="shared" si="19"/>
        <v>0.43999830759971637</v>
      </c>
      <c r="CA52" s="180">
        <f t="shared" si="19"/>
        <v>0.59314651737330804</v>
      </c>
      <c r="CB52" s="180">
        <f t="shared" si="19"/>
        <v>0.74689967499533139</v>
      </c>
      <c r="CC52" s="180">
        <f t="shared" si="19"/>
        <v>0.84576834308265436</v>
      </c>
      <c r="CD52" s="180">
        <f t="shared" si="19"/>
        <v>0.88712904526919645</v>
      </c>
      <c r="CE52" s="180">
        <f t="shared" si="19"/>
        <v>0.87188629586657107</v>
      </c>
      <c r="CF52" s="180">
        <f t="shared" si="19"/>
        <v>0.79683390226808049</v>
      </c>
      <c r="CG52" s="180">
        <f t="shared" si="19"/>
        <v>0.6622769383235807</v>
      </c>
      <c r="CH52" s="180">
        <f t="shared" si="19"/>
        <v>0.49902321317384835</v>
      </c>
      <c r="CI52" s="180">
        <f t="shared" si="19"/>
        <v>0.34723217804326395</v>
      </c>
      <c r="CJ52" s="180">
        <f t="shared" si="19"/>
        <v>0.27399920948231882</v>
      </c>
      <c r="CK52">
        <f t="shared" si="20"/>
        <v>654.9371706908297</v>
      </c>
      <c r="CL52">
        <f t="shared" si="20"/>
        <v>751.67274520050171</v>
      </c>
      <c r="CM52">
        <f t="shared" si="20"/>
        <v>824.2915778502686</v>
      </c>
      <c r="CN52">
        <f t="shared" si="20"/>
        <v>863.56581767499495</v>
      </c>
      <c r="CO52">
        <f t="shared" si="20"/>
        <v>874.68586441276182</v>
      </c>
      <c r="CP52">
        <f t="shared" si="20"/>
        <v>877.18307906652194</v>
      </c>
      <c r="CQ52">
        <f t="shared" si="20"/>
        <v>875.17869903747271</v>
      </c>
      <c r="CR52">
        <f t="shared" si="20"/>
        <v>867.56932651932573</v>
      </c>
      <c r="CS52">
        <f t="shared" si="20"/>
        <v>843.76820568750634</v>
      </c>
      <c r="CT52">
        <f t="shared" si="20"/>
        <v>783.64036341447422</v>
      </c>
      <c r="CU52">
        <f t="shared" si="20"/>
        <v>687.08843806424215</v>
      </c>
      <c r="CV52">
        <f t="shared" si="20"/>
        <v>622.70275616122103</v>
      </c>
      <c r="CW52">
        <f t="shared" si="21"/>
        <v>1</v>
      </c>
      <c r="CX52">
        <f t="shared" si="21"/>
        <v>1</v>
      </c>
      <c r="CY52">
        <f t="shared" si="21"/>
        <v>1</v>
      </c>
      <c r="CZ52">
        <f t="shared" si="21"/>
        <v>1</v>
      </c>
      <c r="DA52">
        <f t="shared" si="21"/>
        <v>1</v>
      </c>
      <c r="DB52">
        <f t="shared" si="21"/>
        <v>1</v>
      </c>
      <c r="DC52">
        <f t="shared" si="21"/>
        <v>1</v>
      </c>
      <c r="DD52">
        <f t="shared" si="21"/>
        <v>1</v>
      </c>
      <c r="DE52">
        <f t="shared" si="21"/>
        <v>1</v>
      </c>
      <c r="DF52">
        <f t="shared" si="21"/>
        <v>1</v>
      </c>
      <c r="DG52">
        <f t="shared" si="21"/>
        <v>1</v>
      </c>
      <c r="DH52">
        <f t="shared" si="21"/>
        <v>1</v>
      </c>
      <c r="DI52">
        <f t="shared" si="22"/>
        <v>1</v>
      </c>
      <c r="DJ52">
        <f t="shared" si="22"/>
        <v>1</v>
      </c>
      <c r="DK52">
        <f t="shared" si="22"/>
        <v>1</v>
      </c>
      <c r="DL52">
        <f t="shared" si="22"/>
        <v>1</v>
      </c>
      <c r="DM52">
        <f t="shared" si="22"/>
        <v>1</v>
      </c>
      <c r="DN52">
        <f t="shared" si="22"/>
        <v>1</v>
      </c>
      <c r="DO52">
        <f t="shared" si="22"/>
        <v>1</v>
      </c>
      <c r="DP52">
        <f t="shared" si="22"/>
        <v>1</v>
      </c>
      <c r="DQ52">
        <f t="shared" si="22"/>
        <v>1</v>
      </c>
      <c r="DR52">
        <f t="shared" si="22"/>
        <v>1</v>
      </c>
      <c r="DS52">
        <f t="shared" si="22"/>
        <v>1</v>
      </c>
      <c r="DT52">
        <f t="shared" si="22"/>
        <v>1</v>
      </c>
      <c r="DU52">
        <f t="shared" si="23"/>
        <v>3034.9526515283937</v>
      </c>
      <c r="DV52">
        <f t="shared" si="23"/>
        <v>4957.0226333682431</v>
      </c>
      <c r="DW52">
        <f t="shared" si="23"/>
        <v>7330.0140972088138</v>
      </c>
      <c r="DX52">
        <f t="shared" si="23"/>
        <v>9671.6872132285171</v>
      </c>
      <c r="DY52">
        <f t="shared" si="23"/>
        <v>11094.14695656096</v>
      </c>
      <c r="DZ52">
        <f t="shared" si="23"/>
        <v>11670.433087524585</v>
      </c>
      <c r="EA52">
        <f t="shared" si="23"/>
        <v>11443.508543544045</v>
      </c>
      <c r="EB52">
        <f t="shared" si="23"/>
        <v>10366.683875187839</v>
      </c>
      <c r="EC52">
        <f t="shared" si="23"/>
        <v>8378.4696974868493</v>
      </c>
      <c r="ED52">
        <f t="shared" si="23"/>
        <v>5861.8196932583742</v>
      </c>
      <c r="EE52">
        <f t="shared" si="23"/>
        <v>3574.8432091210097</v>
      </c>
      <c r="EF52">
        <f t="shared" si="23"/>
        <v>2555.7085153612065</v>
      </c>
      <c r="EG52">
        <f t="shared" si="24"/>
        <v>3038.679529988357</v>
      </c>
      <c r="EH52">
        <f t="shared" si="24"/>
        <v>4961.0210363558035</v>
      </c>
      <c r="EI52">
        <f t="shared" si="24"/>
        <v>7333.8851805305376</v>
      </c>
      <c r="EJ52">
        <f t="shared" si="24"/>
        <v>9674.9554283779689</v>
      </c>
      <c r="EK52">
        <f t="shared" si="24"/>
        <v>11096.724213933012</v>
      </c>
      <c r="EL52">
        <f t="shared" si="24"/>
        <v>11672.618811878665</v>
      </c>
      <c r="EM52">
        <f t="shared" si="24"/>
        <v>11445.844711876602</v>
      </c>
      <c r="EN52">
        <f t="shared" si="24"/>
        <v>10369.629779077271</v>
      </c>
      <c r="EO52">
        <f t="shared" si="24"/>
        <v>8382.1233587625447</v>
      </c>
      <c r="EP52">
        <f t="shared" si="24"/>
        <v>5865.8209818571977</v>
      </c>
      <c r="EQ52">
        <f t="shared" si="24"/>
        <v>3578.6882228608661</v>
      </c>
      <c r="ER52">
        <f t="shared" si="24"/>
        <v>2559.3009439595353</v>
      </c>
    </row>
    <row r="53" spans="2:148" x14ac:dyDescent="0.2">
      <c r="B53" s="179">
        <v>0.54166666666666696</v>
      </c>
      <c r="C53">
        <f>C52-15</f>
        <v>-15</v>
      </c>
      <c r="D53">
        <f t="shared" si="25"/>
        <v>-0.26179938779914941</v>
      </c>
      <c r="E53">
        <f t="shared" si="13"/>
        <v>16.811464585872216</v>
      </c>
      <c r="F53">
        <f t="shared" si="13"/>
        <v>24.772434193373513</v>
      </c>
      <c r="G53">
        <f t="shared" si="13"/>
        <v>34.86382065573369</v>
      </c>
      <c r="H53">
        <f t="shared" si="13"/>
        <v>46.520940576990633</v>
      </c>
      <c r="I53">
        <f t="shared" si="13"/>
        <v>55.623050811554897</v>
      </c>
      <c r="J53">
        <f t="shared" si="13"/>
        <v>60.151014107300263</v>
      </c>
      <c r="K53">
        <f t="shared" si="13"/>
        <v>58.411781481398208</v>
      </c>
      <c r="L53">
        <f t="shared" si="13"/>
        <v>50.88612823964489</v>
      </c>
      <c r="M53">
        <f t="shared" si="13"/>
        <v>39.847656830127818</v>
      </c>
      <c r="N53">
        <f t="shared" si="13"/>
        <v>28.5392308380533</v>
      </c>
      <c r="O53">
        <f t="shared" si="13"/>
        <v>19.077628407509437</v>
      </c>
      <c r="P53">
        <f t="shared" si="13"/>
        <v>14.727005227567915</v>
      </c>
      <c r="Q53">
        <f t="shared" si="14"/>
        <v>3.1312074971624186</v>
      </c>
      <c r="R53">
        <f t="shared" si="14"/>
        <v>3.2469151086416232</v>
      </c>
      <c r="S53">
        <f t="shared" si="14"/>
        <v>3.4042498883941699</v>
      </c>
      <c r="T53">
        <f t="shared" si="14"/>
        <v>3.5630330099622354</v>
      </c>
      <c r="U53">
        <f t="shared" si="14"/>
        <v>3.6797962044834778</v>
      </c>
      <c r="V53">
        <f t="shared" si="14"/>
        <v>3.7236411619630547</v>
      </c>
      <c r="W53">
        <f t="shared" si="14"/>
        <v>3.6823758486869038</v>
      </c>
      <c r="X53">
        <f t="shared" si="14"/>
        <v>3.5670709155128151</v>
      </c>
      <c r="Y53">
        <f t="shared" si="14"/>
        <v>3.4088600589771985</v>
      </c>
      <c r="Z53">
        <f t="shared" si="14"/>
        <v>3.2503994878378686</v>
      </c>
      <c r="AA53">
        <f t="shared" si="14"/>
        <v>3.1333037542265072</v>
      </c>
      <c r="AB53">
        <f t="shared" si="14"/>
        <v>3.0896228406995125</v>
      </c>
      <c r="AC53">
        <f t="shared" si="15"/>
        <v>7.9954981995041002E-2</v>
      </c>
      <c r="AD53">
        <f t="shared" si="15"/>
        <v>8.7135519470427858E-2</v>
      </c>
      <c r="AE53">
        <f t="shared" si="15"/>
        <v>9.1571551250549887E-2</v>
      </c>
      <c r="AF53">
        <f t="shared" si="15"/>
        <v>9.5324692435351382E-2</v>
      </c>
      <c r="AG53">
        <f t="shared" si="15"/>
        <v>9.7695593778620818E-2</v>
      </c>
      <c r="AH53">
        <f t="shared" si="15"/>
        <v>9.8326646735452786E-2</v>
      </c>
      <c r="AI53">
        <f t="shared" si="15"/>
        <v>9.8139144599523706E-2</v>
      </c>
      <c r="AJ53">
        <f t="shared" si="15"/>
        <v>9.6595847582979705E-2</v>
      </c>
      <c r="AK53">
        <f t="shared" si="15"/>
        <v>9.3206986364896716E-2</v>
      </c>
      <c r="AL53">
        <f t="shared" si="15"/>
        <v>8.9130701928233413E-2</v>
      </c>
      <c r="AM53">
        <f t="shared" si="15"/>
        <v>8.2550674333523311E-2</v>
      </c>
      <c r="AN53">
        <f t="shared" si="15"/>
        <v>7.7065274320997079E-2</v>
      </c>
      <c r="AO53">
        <f t="shared" si="16"/>
        <v>3.1569764202524566</v>
      </c>
      <c r="AP53">
        <f t="shared" si="16"/>
        <v>2.2392139262872943</v>
      </c>
      <c r="AQ53">
        <f t="shared" si="16"/>
        <v>1.6687623839500116</v>
      </c>
      <c r="AR53">
        <f t="shared" si="16"/>
        <v>1.327590100074808</v>
      </c>
      <c r="AS53">
        <f t="shared" si="16"/>
        <v>1.1725048263071192</v>
      </c>
      <c r="AT53">
        <f t="shared" si="16"/>
        <v>1.11757430794922</v>
      </c>
      <c r="AU53">
        <f t="shared" si="16"/>
        <v>1.1372381997366725</v>
      </c>
      <c r="AV53">
        <f t="shared" si="16"/>
        <v>1.2445809904675247</v>
      </c>
      <c r="AW53">
        <f t="shared" si="16"/>
        <v>1.4961584987588599</v>
      </c>
      <c r="AX53">
        <f t="shared" si="16"/>
        <v>1.9788251641516719</v>
      </c>
      <c r="AY53">
        <f t="shared" si="16"/>
        <v>2.8217340520256449</v>
      </c>
      <c r="AZ53">
        <f t="shared" si="16"/>
        <v>3.5493138578662164</v>
      </c>
      <c r="BA53">
        <f t="shared" si="17"/>
        <v>0.28885350635803958</v>
      </c>
      <c r="BB53">
        <f t="shared" si="17"/>
        <v>0.41867061467639277</v>
      </c>
      <c r="BC53">
        <f t="shared" si="17"/>
        <v>0.57132499384233482</v>
      </c>
      <c r="BD53">
        <f t="shared" si="17"/>
        <v>0.72538368570424505</v>
      </c>
      <c r="BE53">
        <f t="shared" si="17"/>
        <v>0.82515397648178912</v>
      </c>
      <c r="BF53">
        <f t="shared" si="17"/>
        <v>0.86718350573516167</v>
      </c>
      <c r="BG53">
        <f t="shared" si="17"/>
        <v>0.85166621004036624</v>
      </c>
      <c r="BH53">
        <f t="shared" si="17"/>
        <v>0.77567724818608119</v>
      </c>
      <c r="BI53">
        <f t="shared" si="17"/>
        <v>0.6404700405157473</v>
      </c>
      <c r="BJ53">
        <f t="shared" si="17"/>
        <v>0.47743005969260044</v>
      </c>
      <c r="BK53">
        <f t="shared" si="17"/>
        <v>0.32648550170581492</v>
      </c>
      <c r="BL53">
        <f t="shared" si="17"/>
        <v>0.25383859296043421</v>
      </c>
      <c r="BM53" s="180">
        <f t="shared" si="18"/>
        <v>0.28922334578256464</v>
      </c>
      <c r="BN53" s="180">
        <f t="shared" si="18"/>
        <v>0.4190152893851592</v>
      </c>
      <c r="BO53" s="180">
        <f t="shared" si="18"/>
        <v>0.5716278755964872</v>
      </c>
      <c r="BP53" s="180">
        <f t="shared" si="18"/>
        <v>0.7256259037778614</v>
      </c>
      <c r="BQ53" s="180">
        <f t="shared" si="18"/>
        <v>0.82534072481733589</v>
      </c>
      <c r="BR53" s="180">
        <f t="shared" si="18"/>
        <v>0.86734024086791117</v>
      </c>
      <c r="BS53" s="180">
        <f t="shared" si="18"/>
        <v>0.85183466107384465</v>
      </c>
      <c r="BT53" s="180">
        <f t="shared" si="18"/>
        <v>0.77589369273378406</v>
      </c>
      <c r="BU53" s="180">
        <f t="shared" si="18"/>
        <v>0.64074851209321604</v>
      </c>
      <c r="BV53" s="180">
        <f t="shared" si="18"/>
        <v>0.47776038084651634</v>
      </c>
      <c r="BW53" s="180">
        <f t="shared" si="18"/>
        <v>0.32684891123199544</v>
      </c>
      <c r="BX53" s="180">
        <f t="shared" si="18"/>
        <v>0.254213818823261</v>
      </c>
      <c r="BY53" s="180">
        <f t="shared" si="19"/>
        <v>0.28922334578256464</v>
      </c>
      <c r="BZ53" s="180">
        <f t="shared" si="19"/>
        <v>0.4190152893851592</v>
      </c>
      <c r="CA53" s="180">
        <f t="shared" si="19"/>
        <v>0.5716278755964872</v>
      </c>
      <c r="CB53" s="180">
        <f t="shared" si="19"/>
        <v>0.7256259037778614</v>
      </c>
      <c r="CC53" s="180">
        <f t="shared" si="19"/>
        <v>0.82534072481733589</v>
      </c>
      <c r="CD53" s="180">
        <f t="shared" si="19"/>
        <v>0.86734024086791117</v>
      </c>
      <c r="CE53" s="180">
        <f t="shared" si="19"/>
        <v>0.85183466107384465</v>
      </c>
      <c r="CF53" s="180">
        <f t="shared" si="19"/>
        <v>0.77589369273378406</v>
      </c>
      <c r="CG53" s="180">
        <f t="shared" si="19"/>
        <v>0.64074851209321604</v>
      </c>
      <c r="CH53" s="180">
        <f t="shared" si="19"/>
        <v>0.47776038084651634</v>
      </c>
      <c r="CI53" s="180">
        <f t="shared" si="19"/>
        <v>0.32684891123199544</v>
      </c>
      <c r="CJ53" s="180">
        <f t="shared" si="19"/>
        <v>0.254213818823261</v>
      </c>
      <c r="CK53">
        <f t="shared" si="20"/>
        <v>633.41152865327115</v>
      </c>
      <c r="CL53">
        <f t="shared" si="20"/>
        <v>734.71033376332412</v>
      </c>
      <c r="CM53">
        <f t="shared" si="20"/>
        <v>811.9849007785366</v>
      </c>
      <c r="CN53">
        <f t="shared" si="20"/>
        <v>855.25694406036428</v>
      </c>
      <c r="CO53">
        <f t="shared" si="20"/>
        <v>867.60484458466215</v>
      </c>
      <c r="CP53">
        <f t="shared" si="20"/>
        <v>870.18710655696225</v>
      </c>
      <c r="CQ53">
        <f t="shared" si="20"/>
        <v>868.23179141278194</v>
      </c>
      <c r="CR53">
        <f t="shared" si="20"/>
        <v>860.20622223208534</v>
      </c>
      <c r="CS53">
        <f t="shared" si="20"/>
        <v>833.66252106478555</v>
      </c>
      <c r="CT53">
        <f t="shared" si="20"/>
        <v>768.75745853110516</v>
      </c>
      <c r="CU53">
        <f t="shared" si="20"/>
        <v>667.2327836844031</v>
      </c>
      <c r="CV53">
        <f t="shared" si="20"/>
        <v>599.58698272180516</v>
      </c>
      <c r="CW53">
        <f t="shared" si="21"/>
        <v>1</v>
      </c>
      <c r="CX53">
        <f t="shared" si="21"/>
        <v>1</v>
      </c>
      <c r="CY53">
        <f t="shared" si="21"/>
        <v>1</v>
      </c>
      <c r="CZ53">
        <f t="shared" si="21"/>
        <v>1</v>
      </c>
      <c r="DA53">
        <f t="shared" si="21"/>
        <v>1</v>
      </c>
      <c r="DB53">
        <f t="shared" si="21"/>
        <v>1</v>
      </c>
      <c r="DC53">
        <f t="shared" si="21"/>
        <v>1</v>
      </c>
      <c r="DD53">
        <f t="shared" si="21"/>
        <v>1</v>
      </c>
      <c r="DE53">
        <f t="shared" si="21"/>
        <v>1</v>
      </c>
      <c r="DF53">
        <f t="shared" si="21"/>
        <v>1</v>
      </c>
      <c r="DG53">
        <f t="shared" si="21"/>
        <v>1</v>
      </c>
      <c r="DH53">
        <f t="shared" si="21"/>
        <v>1</v>
      </c>
      <c r="DI53">
        <f t="shared" si="22"/>
        <v>1</v>
      </c>
      <c r="DJ53">
        <f t="shared" si="22"/>
        <v>1</v>
      </c>
      <c r="DK53">
        <f t="shared" si="22"/>
        <v>1</v>
      </c>
      <c r="DL53">
        <f t="shared" si="22"/>
        <v>1</v>
      </c>
      <c r="DM53">
        <f t="shared" si="22"/>
        <v>1</v>
      </c>
      <c r="DN53">
        <f t="shared" si="22"/>
        <v>1</v>
      </c>
      <c r="DO53">
        <f t="shared" si="22"/>
        <v>1</v>
      </c>
      <c r="DP53">
        <f t="shared" si="22"/>
        <v>1</v>
      </c>
      <c r="DQ53">
        <f t="shared" si="22"/>
        <v>1</v>
      </c>
      <c r="DR53">
        <f t="shared" si="22"/>
        <v>1</v>
      </c>
      <c r="DS53">
        <f t="shared" si="22"/>
        <v>1</v>
      </c>
      <c r="DT53">
        <f t="shared" si="22"/>
        <v>1</v>
      </c>
      <c r="DU53">
        <f t="shared" si="23"/>
        <v>2744.4471152865485</v>
      </c>
      <c r="DV53">
        <f t="shared" si="23"/>
        <v>4614.0244056868287</v>
      </c>
      <c r="DW53">
        <f t="shared" si="23"/>
        <v>6958.6090265604944</v>
      </c>
      <c r="DX53">
        <f t="shared" si="23"/>
        <v>9305.8415145998461</v>
      </c>
      <c r="DY53">
        <f t="shared" si="23"/>
        <v>10738.613812858479</v>
      </c>
      <c r="DZ53">
        <f t="shared" si="23"/>
        <v>11319.178585644047</v>
      </c>
      <c r="EA53">
        <f t="shared" si="23"/>
        <v>11091.655188436227</v>
      </c>
      <c r="EB53">
        <f t="shared" si="23"/>
        <v>10008.635930002927</v>
      </c>
      <c r="EC53">
        <f t="shared" si="23"/>
        <v>8009.0380296423491</v>
      </c>
      <c r="ED53">
        <f t="shared" si="23"/>
        <v>5505.4187897345601</v>
      </c>
      <c r="EE53">
        <f t="shared" si="23"/>
        <v>3267.6274520365473</v>
      </c>
      <c r="EF53">
        <f t="shared" si="23"/>
        <v>2282.974740772428</v>
      </c>
      <c r="EG53">
        <f t="shared" si="24"/>
        <v>2747.9610236152184</v>
      </c>
      <c r="EH53">
        <f t="shared" si="24"/>
        <v>4617.8229467415922</v>
      </c>
      <c r="EI53">
        <f t="shared" si="24"/>
        <v>6962.29805772689</v>
      </c>
      <c r="EJ53">
        <f t="shared" si="24"/>
        <v>9308.9488949414063</v>
      </c>
      <c r="EK53">
        <f t="shared" si="24"/>
        <v>10741.044169268058</v>
      </c>
      <c r="EL53">
        <f t="shared" si="24"/>
        <v>11321.224419018996</v>
      </c>
      <c r="EM53">
        <f t="shared" si="24"/>
        <v>11093.849006574661</v>
      </c>
      <c r="EN53">
        <f t="shared" si="24"/>
        <v>10011.428734203462</v>
      </c>
      <c r="EO53">
        <f t="shared" si="24"/>
        <v>8012.5202994021101</v>
      </c>
      <c r="EP53">
        <f t="shared" si="24"/>
        <v>5509.2278424963115</v>
      </c>
      <c r="EQ53">
        <f t="shared" si="24"/>
        <v>3271.26463328311</v>
      </c>
      <c r="ER53">
        <f t="shared" si="24"/>
        <v>2286.3494489164004</v>
      </c>
    </row>
    <row r="54" spans="2:148" x14ac:dyDescent="0.2">
      <c r="B54" s="179">
        <v>0.58333333333333304</v>
      </c>
      <c r="C54">
        <f t="shared" si="26"/>
        <v>-30</v>
      </c>
      <c r="D54">
        <f t="shared" si="25"/>
        <v>-0.52359877559829882</v>
      </c>
      <c r="E54">
        <f t="shared" si="13"/>
        <v>13.316628769825812</v>
      </c>
      <c r="F54">
        <f t="shared" si="13"/>
        <v>20.946508043637465</v>
      </c>
      <c r="G54">
        <f t="shared" si="13"/>
        <v>30.56652292939166</v>
      </c>
      <c r="H54">
        <f t="shared" si="13"/>
        <v>41.548543805416656</v>
      </c>
      <c r="I54">
        <f t="shared" si="13"/>
        <v>49.947040714950639</v>
      </c>
      <c r="J54">
        <f t="shared" si="13"/>
        <v>54.029780994293972</v>
      </c>
      <c r="K54">
        <f t="shared" si="13"/>
        <v>52.471105873504882</v>
      </c>
      <c r="L54">
        <f t="shared" si="13"/>
        <v>45.602245905990749</v>
      </c>
      <c r="M54">
        <f t="shared" si="13"/>
        <v>35.284046804378335</v>
      </c>
      <c r="N54">
        <f t="shared" si="13"/>
        <v>24.54582603252625</v>
      </c>
      <c r="O54">
        <f t="shared" si="13"/>
        <v>15.491070792802432</v>
      </c>
      <c r="P54">
        <f t="shared" si="13"/>
        <v>11.315182696681362</v>
      </c>
      <c r="Q54">
        <f t="shared" si="14"/>
        <v>3.1279746883966673</v>
      </c>
      <c r="R54">
        <f t="shared" si="14"/>
        <v>3.243376033204318</v>
      </c>
      <c r="S54">
        <f t="shared" si="14"/>
        <v>3.400274782698224</v>
      </c>
      <c r="T54">
        <f t="shared" si="14"/>
        <v>3.5584334211071216</v>
      </c>
      <c r="U54">
        <f t="shared" si="14"/>
        <v>3.6745457560616819</v>
      </c>
      <c r="V54">
        <f t="shared" si="14"/>
        <v>3.7179788713415398</v>
      </c>
      <c r="W54">
        <f t="shared" si="14"/>
        <v>3.6768805781819189</v>
      </c>
      <c r="X54">
        <f t="shared" si="14"/>
        <v>3.5621831948802729</v>
      </c>
      <c r="Y54">
        <f t="shared" si="14"/>
        <v>3.4046386078787019</v>
      </c>
      <c r="Z54">
        <f t="shared" si="14"/>
        <v>3.2467054905401338</v>
      </c>
      <c r="AA54">
        <f t="shared" si="14"/>
        <v>3.1299861005494845</v>
      </c>
      <c r="AB54">
        <f t="shared" si="14"/>
        <v>3.0864668212566544</v>
      </c>
      <c r="AC54">
        <f t="shared" si="15"/>
        <v>7.4800984567367945E-2</v>
      </c>
      <c r="AD54">
        <f t="shared" si="15"/>
        <v>8.4324594717024942E-2</v>
      </c>
      <c r="AE54">
        <f t="shared" si="15"/>
        <v>8.9998446263546639E-2</v>
      </c>
      <c r="AF54">
        <f t="shared" si="15"/>
        <v>9.3753263598253367E-2</v>
      </c>
      <c r="AG54">
        <f t="shared" si="15"/>
        <v>9.6337807974269357E-2</v>
      </c>
      <c r="AH54">
        <f t="shared" si="15"/>
        <v>9.736917506652483E-2</v>
      </c>
      <c r="AI54">
        <f t="shared" si="15"/>
        <v>9.7005027184269746E-2</v>
      </c>
      <c r="AJ54">
        <f t="shared" si="15"/>
        <v>9.503981413882201E-2</v>
      </c>
      <c r="AK54">
        <f t="shared" si="15"/>
        <v>9.1713799138708141E-2</v>
      </c>
      <c r="AL54">
        <f t="shared" si="15"/>
        <v>8.6994527243149877E-2</v>
      </c>
      <c r="AM54">
        <f t="shared" si="15"/>
        <v>7.8184991367938578E-2</v>
      </c>
      <c r="AN54">
        <f t="shared" si="15"/>
        <v>7.1112969193541875E-2</v>
      </c>
      <c r="AO54">
        <f t="shared" si="16"/>
        <v>3.8780527270695573</v>
      </c>
      <c r="AP54">
        <f t="shared" si="16"/>
        <v>2.5970842709473696</v>
      </c>
      <c r="AQ54">
        <f t="shared" si="16"/>
        <v>1.8651891277966062</v>
      </c>
      <c r="AR54">
        <f t="shared" si="16"/>
        <v>1.4474196355411169</v>
      </c>
      <c r="AS54">
        <f t="shared" si="16"/>
        <v>1.260958565225508</v>
      </c>
      <c r="AT54">
        <f t="shared" si="16"/>
        <v>1.1949169610454866</v>
      </c>
      <c r="AU54">
        <f t="shared" si="16"/>
        <v>1.2185904714221687</v>
      </c>
      <c r="AV54">
        <f t="shared" si="16"/>
        <v>1.3474864562798448</v>
      </c>
      <c r="AW54">
        <f t="shared" si="16"/>
        <v>1.6522087095675704</v>
      </c>
      <c r="AX54">
        <f t="shared" si="16"/>
        <v>2.2573887250771048</v>
      </c>
      <c r="AY54">
        <f t="shared" si="16"/>
        <v>3.3941983226702352</v>
      </c>
      <c r="AZ54">
        <f t="shared" si="16"/>
        <v>4.469563165658454</v>
      </c>
      <c r="BA54">
        <f t="shared" si="17"/>
        <v>0.22999025071799323</v>
      </c>
      <c r="BB54">
        <f t="shared" si="17"/>
        <v>0.35718068400742575</v>
      </c>
      <c r="BC54">
        <f t="shared" si="17"/>
        <v>0.5082654388528105</v>
      </c>
      <c r="BD54">
        <f t="shared" si="17"/>
        <v>0.66304171450383032</v>
      </c>
      <c r="BE54">
        <f t="shared" si="17"/>
        <v>0.76529162407744644</v>
      </c>
      <c r="BF54">
        <f t="shared" si="17"/>
        <v>0.80919317287577264</v>
      </c>
      <c r="BG54">
        <f t="shared" si="17"/>
        <v>0.79290566279226815</v>
      </c>
      <c r="BH54">
        <f t="shared" si="17"/>
        <v>0.71431276671390487</v>
      </c>
      <c r="BI54">
        <f t="shared" si="17"/>
        <v>0.57738181256011878</v>
      </c>
      <c r="BJ54">
        <f t="shared" si="17"/>
        <v>0.4151201444904834</v>
      </c>
      <c r="BK54">
        <f t="shared" si="17"/>
        <v>0.26675311953772285</v>
      </c>
      <c r="BL54">
        <f t="shared" si="17"/>
        <v>0.19585826394180628</v>
      </c>
      <c r="BM54" s="180">
        <f t="shared" si="18"/>
        <v>0.23033217006993129</v>
      </c>
      <c r="BN54" s="180">
        <f t="shared" si="18"/>
        <v>0.35749619275673289</v>
      </c>
      <c r="BO54" s="180">
        <f t="shared" si="18"/>
        <v>0.50853841014187784</v>
      </c>
      <c r="BP54" s="180">
        <f t="shared" si="18"/>
        <v>0.66325436247735259</v>
      </c>
      <c r="BQ54" s="180">
        <f t="shared" si="18"/>
        <v>0.7654499784479265</v>
      </c>
      <c r="BR54" s="180">
        <f t="shared" si="18"/>
        <v>0.80932240198145688</v>
      </c>
      <c r="BS54" s="180">
        <f t="shared" si="18"/>
        <v>0.79304624246989674</v>
      </c>
      <c r="BT54" s="180">
        <f t="shared" si="18"/>
        <v>0.71450010480532478</v>
      </c>
      <c r="BU54" s="180">
        <f t="shared" si="18"/>
        <v>0.5776303600723155</v>
      </c>
      <c r="BV54" s="180">
        <f t="shared" si="18"/>
        <v>0.41542091074913529</v>
      </c>
      <c r="BW54" s="180">
        <f t="shared" si="18"/>
        <v>0.26708819674643663</v>
      </c>
      <c r="BX54" s="180">
        <f t="shared" si="18"/>
        <v>0.1962059885225988</v>
      </c>
      <c r="BY54" s="180">
        <f t="shared" si="19"/>
        <v>0.23033217006993129</v>
      </c>
      <c r="BZ54" s="180">
        <f t="shared" si="19"/>
        <v>0.35749619275673289</v>
      </c>
      <c r="CA54" s="180">
        <f t="shared" si="19"/>
        <v>0.50853841014187784</v>
      </c>
      <c r="CB54" s="180">
        <f t="shared" si="19"/>
        <v>0.66325436247735259</v>
      </c>
      <c r="CC54" s="180">
        <f t="shared" si="19"/>
        <v>0.7654499784479265</v>
      </c>
      <c r="CD54" s="180">
        <f t="shared" si="19"/>
        <v>0.80932240198145688</v>
      </c>
      <c r="CE54" s="180">
        <f t="shared" si="19"/>
        <v>0.79304624246989674</v>
      </c>
      <c r="CF54" s="180">
        <f t="shared" si="19"/>
        <v>0.71450010480532478</v>
      </c>
      <c r="CG54" s="180">
        <f t="shared" si="19"/>
        <v>0.5776303600723155</v>
      </c>
      <c r="CH54" s="180">
        <f t="shared" si="19"/>
        <v>0.41542091074913529</v>
      </c>
      <c r="CI54" s="180">
        <f t="shared" si="19"/>
        <v>0.26708819674643663</v>
      </c>
      <c r="CJ54" s="180">
        <f t="shared" si="19"/>
        <v>0.1962059885225988</v>
      </c>
      <c r="CK54">
        <f t="shared" si="20"/>
        <v>563.47193275381858</v>
      </c>
      <c r="CL54">
        <f t="shared" si="20"/>
        <v>680.4166034978814</v>
      </c>
      <c r="CM54">
        <f t="shared" si="20"/>
        <v>771.93856960743983</v>
      </c>
      <c r="CN54">
        <f t="shared" si="20"/>
        <v>828.34586799649855</v>
      </c>
      <c r="CO54">
        <f t="shared" si="20"/>
        <v>846.30117115823862</v>
      </c>
      <c r="CP54">
        <f t="shared" si="20"/>
        <v>850.06222753573604</v>
      </c>
      <c r="CQ54">
        <f t="shared" si="20"/>
        <v>847.92987557144158</v>
      </c>
      <c r="CR54">
        <f t="shared" si="20"/>
        <v>836.99638747551751</v>
      </c>
      <c r="CS54">
        <f t="shared" si="20"/>
        <v>800.54795134745564</v>
      </c>
      <c r="CT54">
        <f t="shared" si="20"/>
        <v>720.87964347291268</v>
      </c>
      <c r="CU54">
        <f t="shared" si="20"/>
        <v>603.27742976362424</v>
      </c>
      <c r="CV54">
        <f t="shared" si="20"/>
        <v>523.3902444409681</v>
      </c>
      <c r="CW54">
        <f t="shared" si="21"/>
        <v>1</v>
      </c>
      <c r="CX54">
        <f t="shared" si="21"/>
        <v>1</v>
      </c>
      <c r="CY54">
        <f t="shared" si="21"/>
        <v>1</v>
      </c>
      <c r="CZ54">
        <f t="shared" si="21"/>
        <v>1</v>
      </c>
      <c r="DA54">
        <f t="shared" si="21"/>
        <v>1</v>
      </c>
      <c r="DB54">
        <f t="shared" si="21"/>
        <v>1</v>
      </c>
      <c r="DC54">
        <f t="shared" si="21"/>
        <v>1</v>
      </c>
      <c r="DD54">
        <f t="shared" si="21"/>
        <v>1</v>
      </c>
      <c r="DE54">
        <f t="shared" si="21"/>
        <v>1</v>
      </c>
      <c r="DF54">
        <f t="shared" si="21"/>
        <v>1</v>
      </c>
      <c r="DG54">
        <f t="shared" si="21"/>
        <v>1</v>
      </c>
      <c r="DH54">
        <f t="shared" si="21"/>
        <v>1</v>
      </c>
      <c r="DI54">
        <f t="shared" si="22"/>
        <v>1</v>
      </c>
      <c r="DJ54">
        <f t="shared" si="22"/>
        <v>1</v>
      </c>
      <c r="DK54">
        <f t="shared" si="22"/>
        <v>1</v>
      </c>
      <c r="DL54">
        <f t="shared" si="22"/>
        <v>1</v>
      </c>
      <c r="DM54">
        <f t="shared" si="22"/>
        <v>1</v>
      </c>
      <c r="DN54">
        <f t="shared" si="22"/>
        <v>1</v>
      </c>
      <c r="DO54">
        <f t="shared" si="22"/>
        <v>1</v>
      </c>
      <c r="DP54">
        <f t="shared" si="22"/>
        <v>1</v>
      </c>
      <c r="DQ54">
        <f t="shared" si="22"/>
        <v>1</v>
      </c>
      <c r="DR54">
        <f t="shared" si="22"/>
        <v>1</v>
      </c>
      <c r="DS54">
        <f t="shared" si="22"/>
        <v>1</v>
      </c>
      <c r="DT54">
        <f t="shared" si="22"/>
        <v>1</v>
      </c>
      <c r="DU54">
        <f t="shared" si="23"/>
        <v>1943.8957662990442</v>
      </c>
      <c r="DV54">
        <f t="shared" si="23"/>
        <v>3645.4750177107398</v>
      </c>
      <c r="DW54">
        <f t="shared" si="23"/>
        <v>5885.2454377340437</v>
      </c>
      <c r="DX54">
        <f t="shared" si="23"/>
        <v>8238.4179677784286</v>
      </c>
      <c r="DY54">
        <f t="shared" si="23"/>
        <v>9715.0079660150004</v>
      </c>
      <c r="DZ54">
        <f t="shared" si="23"/>
        <v>10317.968265622338</v>
      </c>
      <c r="EA54">
        <f t="shared" si="23"/>
        <v>10084.925999870089</v>
      </c>
      <c r="EB54">
        <f t="shared" si="23"/>
        <v>8968.158079007706</v>
      </c>
      <c r="EC54">
        <f t="shared" si="23"/>
        <v>6933.3274078542554</v>
      </c>
      <c r="ED54">
        <f t="shared" si="23"/>
        <v>4488.7749263808555</v>
      </c>
      <c r="EE54">
        <f t="shared" si="23"/>
        <v>2413.8920450421942</v>
      </c>
      <c r="EF54">
        <f t="shared" si="23"/>
        <v>1537.6545696042847</v>
      </c>
      <c r="EG54">
        <f t="shared" si="24"/>
        <v>1946.7856956702813</v>
      </c>
      <c r="EH54">
        <f t="shared" si="24"/>
        <v>3648.6951785844012</v>
      </c>
      <c r="EI54">
        <f t="shared" si="24"/>
        <v>5888.4061937304414</v>
      </c>
      <c r="EJ54">
        <f t="shared" si="24"/>
        <v>8241.0601588315039</v>
      </c>
      <c r="EK54">
        <f t="shared" si="24"/>
        <v>9717.018198352931</v>
      </c>
      <c r="EL54">
        <f t="shared" si="24"/>
        <v>10319.616057343945</v>
      </c>
      <c r="EM54">
        <f t="shared" si="24"/>
        <v>10086.714025498482</v>
      </c>
      <c r="EN54">
        <f t="shared" si="24"/>
        <v>8970.5100985940317</v>
      </c>
      <c r="EO54">
        <f t="shared" si="24"/>
        <v>6936.31202087978</v>
      </c>
      <c r="EP54">
        <f t="shared" si="24"/>
        <v>4492.02717048044</v>
      </c>
      <c r="EQ54">
        <f t="shared" si="24"/>
        <v>2416.9242128008723</v>
      </c>
      <c r="ER54">
        <f t="shared" si="24"/>
        <v>1540.3845044043715</v>
      </c>
    </row>
    <row r="55" spans="2:148" x14ac:dyDescent="0.2">
      <c r="B55" s="179">
        <v>0.625</v>
      </c>
      <c r="C55">
        <f t="shared" si="26"/>
        <v>-45</v>
      </c>
      <c r="D55">
        <f t="shared" si="25"/>
        <v>-0.78539816339744828</v>
      </c>
      <c r="E55">
        <f t="shared" si="13"/>
        <v>7.8540328761501002</v>
      </c>
      <c r="F55">
        <f t="shared" si="13"/>
        <v>15.048313037149128</v>
      </c>
      <c r="G55">
        <f t="shared" si="13"/>
        <v>24.09040351492763</v>
      </c>
      <c r="H55">
        <f t="shared" si="13"/>
        <v>34.335346241385125</v>
      </c>
      <c r="I55">
        <f t="shared" si="13"/>
        <v>42.080770397607225</v>
      </c>
      <c r="J55">
        <f t="shared" si="13"/>
        <v>45.809759442364204</v>
      </c>
      <c r="K55">
        <f t="shared" si="13"/>
        <v>44.389097409785975</v>
      </c>
      <c r="L55">
        <f t="shared" si="13"/>
        <v>38.085522308713095</v>
      </c>
      <c r="M55">
        <f t="shared" si="13"/>
        <v>28.504245663932863</v>
      </c>
      <c r="N55">
        <f t="shared" si="13"/>
        <v>18.436480975652344</v>
      </c>
      <c r="O55">
        <f t="shared" si="13"/>
        <v>9.9054398204220604</v>
      </c>
      <c r="P55">
        <f t="shared" si="13"/>
        <v>5.9654569101125361</v>
      </c>
      <c r="Q55">
        <f t="shared" si="14"/>
        <v>3.122921653341987</v>
      </c>
      <c r="R55">
        <f t="shared" si="14"/>
        <v>3.237920058296559</v>
      </c>
      <c r="S55">
        <f t="shared" si="14"/>
        <v>3.3942842135518836</v>
      </c>
      <c r="T55">
        <f t="shared" si="14"/>
        <v>3.5517610366113948</v>
      </c>
      <c r="U55">
        <f t="shared" si="14"/>
        <v>3.6672692632665362</v>
      </c>
      <c r="V55">
        <f t="shared" si="14"/>
        <v>3.7103751499862381</v>
      </c>
      <c r="W55">
        <f t="shared" si="14"/>
        <v>3.6694045223150238</v>
      </c>
      <c r="X55">
        <f t="shared" si="14"/>
        <v>3.5552300413663263</v>
      </c>
      <c r="Y55">
        <f t="shared" si="14"/>
        <v>3.3983671256945458</v>
      </c>
      <c r="Z55">
        <f t="shared" si="14"/>
        <v>3.2410541966618407</v>
      </c>
      <c r="AA55">
        <f t="shared" si="14"/>
        <v>3.1248192550322056</v>
      </c>
      <c r="AB55">
        <f t="shared" si="14"/>
        <v>3.0815181938167675</v>
      </c>
      <c r="AC55">
        <f t="shared" si="15"/>
        <v>6.3269604767705157E-2</v>
      </c>
      <c r="AD55">
        <f t="shared" si="15"/>
        <v>7.7544990110137296E-2</v>
      </c>
      <c r="AE55">
        <f t="shared" si="15"/>
        <v>8.6702554945974231E-2</v>
      </c>
      <c r="AF55">
        <f t="shared" si="15"/>
        <v>9.1390643826615325E-2</v>
      </c>
      <c r="AG55">
        <f t="shared" si="15"/>
        <v>9.3923700231576507E-2</v>
      </c>
      <c r="AH55">
        <f t="shared" si="15"/>
        <v>9.5104495360368857E-2</v>
      </c>
      <c r="AI55">
        <f t="shared" si="15"/>
        <v>9.4658573639854332E-2</v>
      </c>
      <c r="AJ55">
        <f t="shared" si="15"/>
        <v>9.2637600950435273E-2</v>
      </c>
      <c r="AK55">
        <f t="shared" si="15"/>
        <v>8.9114696664051196E-2</v>
      </c>
      <c r="AL55">
        <f t="shared" si="15"/>
        <v>8.1869046370310422E-2</v>
      </c>
      <c r="AM55">
        <f t="shared" si="15"/>
        <v>6.8153390471519693E-2</v>
      </c>
      <c r="AN55">
        <f t="shared" si="15"/>
        <v>5.8129473507514642E-2</v>
      </c>
      <c r="AO55">
        <f t="shared" si="16"/>
        <v>6.0905680978121515</v>
      </c>
      <c r="AP55">
        <f t="shared" si="16"/>
        <v>3.4823213621810836</v>
      </c>
      <c r="AQ55">
        <f t="shared" si="16"/>
        <v>2.2949254802667403</v>
      </c>
      <c r="AR55">
        <f t="shared" si="16"/>
        <v>1.690181973537271</v>
      </c>
      <c r="AS55">
        <f t="shared" si="16"/>
        <v>1.4330598808575989</v>
      </c>
      <c r="AT55">
        <f t="shared" si="16"/>
        <v>1.3429110596338267</v>
      </c>
      <c r="AU55">
        <f t="shared" si="16"/>
        <v>1.3752253727384622</v>
      </c>
      <c r="AV55">
        <f t="shared" si="16"/>
        <v>1.5516759268773426</v>
      </c>
      <c r="AW55">
        <f t="shared" si="16"/>
        <v>1.9809289158178098</v>
      </c>
      <c r="AX55">
        <f t="shared" si="16"/>
        <v>2.9087200582518986</v>
      </c>
      <c r="AY55">
        <f t="shared" si="16"/>
        <v>5.0111646672277388</v>
      </c>
      <c r="AZ55">
        <f t="shared" si="16"/>
        <v>7.6058681625288207</v>
      </c>
      <c r="BA55">
        <f t="shared" si="17"/>
        <v>0.13635233334571967</v>
      </c>
      <c r="BB55">
        <f t="shared" si="17"/>
        <v>0.2593643300765982</v>
      </c>
      <c r="BC55">
        <f t="shared" si="17"/>
        <v>0.40795217320964694</v>
      </c>
      <c r="BD55">
        <f t="shared" si="17"/>
        <v>0.56386995982233035</v>
      </c>
      <c r="BE55">
        <f t="shared" si="17"/>
        <v>0.67006437327050572</v>
      </c>
      <c r="BF55">
        <f t="shared" si="17"/>
        <v>0.71694387511549285</v>
      </c>
      <c r="BG55">
        <f t="shared" si="17"/>
        <v>0.699431130876917</v>
      </c>
      <c r="BH55">
        <f t="shared" si="17"/>
        <v>0.61669597363637652</v>
      </c>
      <c r="BI55">
        <f t="shared" si="17"/>
        <v>0.47702293481477565</v>
      </c>
      <c r="BJ55">
        <f t="shared" si="17"/>
        <v>0.31599938353821666</v>
      </c>
      <c r="BK55">
        <f t="shared" si="17"/>
        <v>0.17173262151926749</v>
      </c>
      <c r="BL55">
        <f t="shared" si="17"/>
        <v>0.10362487999404679</v>
      </c>
      <c r="BM55" s="180">
        <f t="shared" si="18"/>
        <v>0.13664983827610541</v>
      </c>
      <c r="BN55" s="180">
        <f t="shared" si="18"/>
        <v>0.25963344248455023</v>
      </c>
      <c r="BO55" s="180">
        <f t="shared" si="18"/>
        <v>0.40817756381994064</v>
      </c>
      <c r="BP55" s="180">
        <f t="shared" si="18"/>
        <v>0.56403556855958936</v>
      </c>
      <c r="BQ55" s="180">
        <f t="shared" si="18"/>
        <v>0.6701775593653635</v>
      </c>
      <c r="BR55" s="180">
        <f t="shared" si="18"/>
        <v>0.71702934845093358</v>
      </c>
      <c r="BS55" s="180">
        <f t="shared" si="18"/>
        <v>0.69952737363013084</v>
      </c>
      <c r="BT55" s="180">
        <f t="shared" si="18"/>
        <v>0.61683701004232561</v>
      </c>
      <c r="BU55" s="180">
        <f t="shared" si="18"/>
        <v>0.47722388001342497</v>
      </c>
      <c r="BV55" s="180">
        <f t="shared" si="18"/>
        <v>0.31625313474799677</v>
      </c>
      <c r="BW55" s="180">
        <f t="shared" si="18"/>
        <v>0.17202262851952801</v>
      </c>
      <c r="BX55" s="180">
        <f t="shared" si="18"/>
        <v>0.10392885635284993</v>
      </c>
      <c r="BY55" s="180">
        <f t="shared" si="19"/>
        <v>0.13664983827610541</v>
      </c>
      <c r="BZ55" s="180">
        <f t="shared" si="19"/>
        <v>0.25963344248455023</v>
      </c>
      <c r="CA55" s="180">
        <f t="shared" si="19"/>
        <v>0.40817756381994064</v>
      </c>
      <c r="CB55" s="180">
        <f t="shared" si="19"/>
        <v>0.56403556855958936</v>
      </c>
      <c r="CC55" s="180">
        <f t="shared" si="19"/>
        <v>0.6701775593653635</v>
      </c>
      <c r="CD55" s="180">
        <f t="shared" si="19"/>
        <v>0.71702934845093358</v>
      </c>
      <c r="CE55" s="180">
        <f t="shared" si="19"/>
        <v>0.69952737363013084</v>
      </c>
      <c r="CF55" s="180">
        <f t="shared" si="19"/>
        <v>0.61683701004232561</v>
      </c>
      <c r="CG55" s="180">
        <f t="shared" si="19"/>
        <v>0.47722388001342497</v>
      </c>
      <c r="CH55" s="180">
        <f t="shared" si="19"/>
        <v>0.31625313474799677</v>
      </c>
      <c r="CI55" s="180">
        <f t="shared" si="19"/>
        <v>0.17202262851952801</v>
      </c>
      <c r="CJ55" s="180">
        <f t="shared" si="19"/>
        <v>0.10392885635284993</v>
      </c>
      <c r="CK55">
        <f t="shared" si="20"/>
        <v>419.08597177508966</v>
      </c>
      <c r="CL55">
        <f t="shared" si="20"/>
        <v>577.46136378885683</v>
      </c>
      <c r="CM55">
        <f t="shared" si="20"/>
        <v>695.27562864993138</v>
      </c>
      <c r="CN55">
        <f t="shared" si="20"/>
        <v>775.63503101877541</v>
      </c>
      <c r="CO55">
        <f t="shared" si="20"/>
        <v>807.25817936319675</v>
      </c>
      <c r="CP55">
        <f t="shared" si="20"/>
        <v>815.67151724102018</v>
      </c>
      <c r="CQ55">
        <f t="shared" si="20"/>
        <v>812.21752199702451</v>
      </c>
      <c r="CR55">
        <f t="shared" si="20"/>
        <v>792.32282808052764</v>
      </c>
      <c r="CS55">
        <f t="shared" si="20"/>
        <v>736.04343464991337</v>
      </c>
      <c r="CT55">
        <f t="shared" si="20"/>
        <v>630.33793602749711</v>
      </c>
      <c r="CU55">
        <f t="shared" si="20"/>
        <v>476.17505156546594</v>
      </c>
      <c r="CV55">
        <f t="shared" si="20"/>
        <v>357.42496445043219</v>
      </c>
      <c r="CW55">
        <f t="shared" si="21"/>
        <v>1</v>
      </c>
      <c r="CX55">
        <f t="shared" si="21"/>
        <v>1</v>
      </c>
      <c r="CY55">
        <f t="shared" si="21"/>
        <v>1</v>
      </c>
      <c r="CZ55">
        <f t="shared" si="21"/>
        <v>1</v>
      </c>
      <c r="DA55">
        <f t="shared" si="21"/>
        <v>1</v>
      </c>
      <c r="DB55">
        <f t="shared" si="21"/>
        <v>1</v>
      </c>
      <c r="DC55">
        <f t="shared" si="21"/>
        <v>1</v>
      </c>
      <c r="DD55">
        <f t="shared" si="21"/>
        <v>1</v>
      </c>
      <c r="DE55">
        <f t="shared" si="21"/>
        <v>1</v>
      </c>
      <c r="DF55">
        <f t="shared" si="21"/>
        <v>1</v>
      </c>
      <c r="DG55">
        <f t="shared" si="21"/>
        <v>1</v>
      </c>
      <c r="DH55">
        <f t="shared" si="21"/>
        <v>1</v>
      </c>
      <c r="DI55">
        <f t="shared" si="22"/>
        <v>1</v>
      </c>
      <c r="DJ55">
        <f t="shared" si="22"/>
        <v>1</v>
      </c>
      <c r="DK55">
        <f t="shared" si="22"/>
        <v>1</v>
      </c>
      <c r="DL55">
        <f t="shared" si="22"/>
        <v>1</v>
      </c>
      <c r="DM55">
        <f t="shared" si="22"/>
        <v>1</v>
      </c>
      <c r="DN55">
        <f t="shared" si="22"/>
        <v>1</v>
      </c>
      <c r="DO55">
        <f t="shared" si="22"/>
        <v>1</v>
      </c>
      <c r="DP55">
        <f t="shared" si="22"/>
        <v>1</v>
      </c>
      <c r="DQ55">
        <f t="shared" si="22"/>
        <v>1</v>
      </c>
      <c r="DR55">
        <f t="shared" si="22"/>
        <v>1</v>
      </c>
      <c r="DS55">
        <f t="shared" si="22"/>
        <v>1</v>
      </c>
      <c r="DT55">
        <f t="shared" si="22"/>
        <v>1</v>
      </c>
      <c r="DU55">
        <f t="shared" si="23"/>
        <v>857.15025185987827</v>
      </c>
      <c r="DV55">
        <f t="shared" si="23"/>
        <v>2246.5931964632341</v>
      </c>
      <c r="DW55">
        <f t="shared" si="23"/>
        <v>4254.588055311644</v>
      </c>
      <c r="DX55">
        <f t="shared" si="23"/>
        <v>6560.3594066602327</v>
      </c>
      <c r="DY55">
        <f t="shared" si="23"/>
        <v>8113.7241903373497</v>
      </c>
      <c r="DZ55">
        <f t="shared" si="23"/>
        <v>8771.8604758816582</v>
      </c>
      <c r="EA55">
        <f t="shared" si="23"/>
        <v>8521.3532989263913</v>
      </c>
      <c r="EB55">
        <f t="shared" si="23"/>
        <v>7329.334468461725</v>
      </c>
      <c r="EC55">
        <f t="shared" si="23"/>
        <v>5266.6439902177381</v>
      </c>
      <c r="ED55">
        <f t="shared" si="23"/>
        <v>2987.7959880816143</v>
      </c>
      <c r="EE55">
        <f t="shared" si="23"/>
        <v>1226.6218486111477</v>
      </c>
      <c r="EF55">
        <f t="shared" si="23"/>
        <v>555.57178572078715</v>
      </c>
      <c r="EG55">
        <f t="shared" si="24"/>
        <v>859.02045400275722</v>
      </c>
      <c r="EH55">
        <f t="shared" si="24"/>
        <v>2248.9242267348613</v>
      </c>
      <c r="EI55">
        <f t="shared" si="24"/>
        <v>4256.9386842856011</v>
      </c>
      <c r="EJ55">
        <f t="shared" si="24"/>
        <v>6562.2861857311464</v>
      </c>
      <c r="EK55">
        <f t="shared" si="24"/>
        <v>8115.0947463503107</v>
      </c>
      <c r="EL55">
        <f t="shared" si="24"/>
        <v>8772.9062483596972</v>
      </c>
      <c r="EM55">
        <f t="shared" si="24"/>
        <v>8522.5258496842744</v>
      </c>
      <c r="EN55">
        <f t="shared" si="24"/>
        <v>7331.0106639220839</v>
      </c>
      <c r="EO55">
        <f t="shared" si="24"/>
        <v>5268.8625561305917</v>
      </c>
      <c r="EP55">
        <f t="shared" si="24"/>
        <v>2990.1952232891731</v>
      </c>
      <c r="EQ55">
        <f t="shared" si="24"/>
        <v>1228.6932600856985</v>
      </c>
      <c r="ER55">
        <f t="shared" si="24"/>
        <v>557.20151680937192</v>
      </c>
    </row>
    <row r="56" spans="2:148" x14ac:dyDescent="0.2">
      <c r="B56" s="181">
        <v>0.66666666666666696</v>
      </c>
      <c r="C56" s="18">
        <f t="shared" si="26"/>
        <v>-60</v>
      </c>
      <c r="D56" s="18">
        <f t="shared" si="25"/>
        <v>-1.0471975511965976</v>
      </c>
      <c r="E56" s="18">
        <f t="shared" ref="E56:P63" si="27">MAX(0,90-DEGREES(ACOS(COS($G$10)*COS(E$36)*COS($D56)+SIN($G$10)*SIN(E$36))))</f>
        <v>0.83429307302620259</v>
      </c>
      <c r="F56" s="18">
        <f t="shared" si="27"/>
        <v>7.5907418791351944</v>
      </c>
      <c r="G56" s="18">
        <f t="shared" si="27"/>
        <v>16.104180982431927</v>
      </c>
      <c r="H56" s="18">
        <f t="shared" si="27"/>
        <v>25.768185790235151</v>
      </c>
      <c r="I56" s="18">
        <f t="shared" si="27"/>
        <v>33.09412947420099</v>
      </c>
      <c r="J56" s="18">
        <f t="shared" si="27"/>
        <v>36.637536366889144</v>
      </c>
      <c r="K56" s="18">
        <f t="shared" si="27"/>
        <v>35.285510333176617</v>
      </c>
      <c r="L56" s="18">
        <f t="shared" si="27"/>
        <v>29.311664898239812</v>
      </c>
      <c r="M56" s="18">
        <f t="shared" si="27"/>
        <v>20.265546296802711</v>
      </c>
      <c r="N56" s="18">
        <f t="shared" si="27"/>
        <v>10.778644100012315</v>
      </c>
      <c r="O56" s="18">
        <f t="shared" si="27"/>
        <v>2.7587557088067598</v>
      </c>
      <c r="P56" s="18">
        <f t="shared" si="27"/>
        <v>0</v>
      </c>
      <c r="Q56" s="18">
        <f t="shared" si="14"/>
        <v>3.1164282220155033</v>
      </c>
      <c r="R56" s="18">
        <f t="shared" si="14"/>
        <v>3.2310216222383761</v>
      </c>
      <c r="S56" s="18">
        <f t="shared" si="14"/>
        <v>3.3868967620184658</v>
      </c>
      <c r="T56" s="18">
        <f t="shared" si="14"/>
        <v>3.5438362032681767</v>
      </c>
      <c r="U56" s="18">
        <f t="shared" si="14"/>
        <v>3.6589564002077175</v>
      </c>
      <c r="V56" s="18">
        <f t="shared" si="14"/>
        <v>3.7018906188893328</v>
      </c>
      <c r="W56" s="18">
        <f t="shared" si="14"/>
        <v>3.6609834811988957</v>
      </c>
      <c r="X56" s="18">
        <f t="shared" si="14"/>
        <v>3.5471140082709232</v>
      </c>
      <c r="Y56" s="18">
        <f t="shared" si="14"/>
        <v>3.3907461269025112</v>
      </c>
      <c r="Z56" s="18">
        <f t="shared" si="14"/>
        <v>3.233970509907631</v>
      </c>
      <c r="AA56" s="18">
        <f t="shared" si="14"/>
        <v>3.1182083971097803</v>
      </c>
      <c r="AB56" s="18">
        <f t="shared" si="14"/>
        <v>3.0760000000000001</v>
      </c>
      <c r="AC56" s="18">
        <f t="shared" si="15"/>
        <v>4.0800910925375508E-2</v>
      </c>
      <c r="AD56" s="18">
        <f t="shared" si="15"/>
        <v>6.2590947463828164E-2</v>
      </c>
      <c r="AE56" s="18">
        <f t="shared" si="15"/>
        <v>7.9032104028200906E-2</v>
      </c>
      <c r="AF56" s="18">
        <f t="shared" si="15"/>
        <v>8.7723476295218317E-2</v>
      </c>
      <c r="AG56" s="18">
        <f t="shared" si="15"/>
        <v>9.0954808174574575E-2</v>
      </c>
      <c r="AH56" s="18">
        <f t="shared" si="15"/>
        <v>9.2164369494130927E-2</v>
      </c>
      <c r="AI56" s="18">
        <f t="shared" si="15"/>
        <v>9.1714292298413325E-2</v>
      </c>
      <c r="AJ56" s="18">
        <f t="shared" si="15"/>
        <v>8.9474545712164177E-2</v>
      </c>
      <c r="AK56" s="18">
        <f t="shared" si="15"/>
        <v>8.3713104737968724E-2</v>
      </c>
      <c r="AL56" s="18">
        <f t="shared" si="15"/>
        <v>7.0023190561556176E-2</v>
      </c>
      <c r="AM56" s="18">
        <f t="shared" si="15"/>
        <v>4.7893987897192833E-2</v>
      </c>
      <c r="AN56" s="18">
        <f t="shared" si="15"/>
        <v>3.7499999999999881E-2</v>
      </c>
      <c r="AO56" s="18">
        <f t="shared" si="16"/>
        <v>23.719533302896636</v>
      </c>
      <c r="AP56" s="18">
        <f t="shared" si="16"/>
        <v>6.2642569326479727</v>
      </c>
      <c r="AQ56" s="18">
        <f t="shared" si="16"/>
        <v>3.2795666764947877</v>
      </c>
      <c r="AR56" s="18">
        <f t="shared" si="16"/>
        <v>2.1630676295945079</v>
      </c>
      <c r="AS56" s="18">
        <f t="shared" si="16"/>
        <v>1.7432903583545352</v>
      </c>
      <c r="AT56" s="18">
        <f t="shared" si="16"/>
        <v>1.6016020445731576</v>
      </c>
      <c r="AU56" s="18">
        <f t="shared" si="16"/>
        <v>1.6521517797292273</v>
      </c>
      <c r="AV56" s="18">
        <f t="shared" si="16"/>
        <v>1.9336601662673771</v>
      </c>
      <c r="AW56" s="18">
        <f t="shared" si="16"/>
        <v>2.6743717993864204</v>
      </c>
      <c r="AX56" s="18">
        <f t="shared" si="16"/>
        <v>4.6610193356649221</v>
      </c>
      <c r="AY56" s="18">
        <f t="shared" si="16"/>
        <v>13.208913616844486</v>
      </c>
      <c r="AZ56" s="18">
        <f t="shared" si="16"/>
        <v>36.218241904286437</v>
      </c>
      <c r="BA56" s="18">
        <f t="shared" si="17"/>
        <v>1.4321023566164437E-2</v>
      </c>
      <c r="BB56" s="18">
        <f t="shared" si="17"/>
        <v>0.13188757575512813</v>
      </c>
      <c r="BC56" s="18">
        <f t="shared" si="17"/>
        <v>0.2772213801909163</v>
      </c>
      <c r="BD56" s="18">
        <f t="shared" si="17"/>
        <v>0.43462681285221616</v>
      </c>
      <c r="BE56" s="18">
        <f t="shared" si="17"/>
        <v>0.54596180383298754</v>
      </c>
      <c r="BF56" s="18">
        <f t="shared" si="17"/>
        <v>0.59672224964751264</v>
      </c>
      <c r="BG56" s="18">
        <f t="shared" si="17"/>
        <v>0.57761274917037631</v>
      </c>
      <c r="BH56" s="18">
        <f t="shared" si="17"/>
        <v>0.48947929208235191</v>
      </c>
      <c r="BI56" s="18">
        <f t="shared" si="17"/>
        <v>0.3462326989471759</v>
      </c>
      <c r="BJ56" s="18">
        <f t="shared" si="17"/>
        <v>0.18682269288989475</v>
      </c>
      <c r="BK56" s="18">
        <f t="shared" si="17"/>
        <v>4.7899497561608939E-2</v>
      </c>
      <c r="BL56" s="18">
        <f t="shared" si="17"/>
        <v>-1.6576006189678028E-2</v>
      </c>
      <c r="BM56" s="180">
        <f t="shared" si="18"/>
        <v>1.4560646495463596E-2</v>
      </c>
      <c r="BN56" s="180">
        <f t="shared" si="18"/>
        <v>0.13209622327381904</v>
      </c>
      <c r="BO56" s="180">
        <f t="shared" si="18"/>
        <v>0.27738476245337479</v>
      </c>
      <c r="BP56" s="180">
        <f t="shared" si="18"/>
        <v>0.43473111886325727</v>
      </c>
      <c r="BQ56" s="180">
        <f t="shared" si="18"/>
        <v>0.54601612548500655</v>
      </c>
      <c r="BR56" s="180">
        <f t="shared" si="18"/>
        <v>0.5967506993529641</v>
      </c>
      <c r="BS56" s="180">
        <f t="shared" si="18"/>
        <v>0.5776512109187395</v>
      </c>
      <c r="BT56" s="180">
        <f t="shared" si="18"/>
        <v>0.4895599869569901</v>
      </c>
      <c r="BU56" s="180">
        <f t="shared" si="18"/>
        <v>0.34637160760300406</v>
      </c>
      <c r="BV56" s="180">
        <f t="shared" si="18"/>
        <v>0.18701517289507985</v>
      </c>
      <c r="BW56" s="180">
        <f t="shared" si="18"/>
        <v>4.8130767922654034E-2</v>
      </c>
      <c r="BX56" s="180">
        <f t="shared" si="18"/>
        <v>6.1257422745431001E-17</v>
      </c>
      <c r="BY56" s="180">
        <f t="shared" si="19"/>
        <v>1.4560646495463596E-2</v>
      </c>
      <c r="BZ56" s="180">
        <f t="shared" si="19"/>
        <v>0.13209622327381904</v>
      </c>
      <c r="CA56" s="180">
        <f t="shared" si="19"/>
        <v>0.27738476245337479</v>
      </c>
      <c r="CB56" s="180">
        <f t="shared" si="19"/>
        <v>0.43473111886325727</v>
      </c>
      <c r="CC56" s="180">
        <f t="shared" si="19"/>
        <v>0.54601612548500655</v>
      </c>
      <c r="CD56" s="180">
        <f t="shared" si="19"/>
        <v>0.5967506993529641</v>
      </c>
      <c r="CE56" s="180">
        <f t="shared" si="19"/>
        <v>0.5776512109187395</v>
      </c>
      <c r="CF56" s="180">
        <f t="shared" si="19"/>
        <v>0.4895599869569901</v>
      </c>
      <c r="CG56" s="180">
        <f t="shared" si="19"/>
        <v>0.34637160760300406</v>
      </c>
      <c r="CH56" s="180">
        <f t="shared" si="19"/>
        <v>0.18701517289507985</v>
      </c>
      <c r="CI56" s="180">
        <f t="shared" si="19"/>
        <v>4.8130767922654034E-2</v>
      </c>
      <c r="CJ56" s="180">
        <f t="shared" si="19"/>
        <v>0</v>
      </c>
      <c r="CK56" s="18">
        <f t="shared" si="20"/>
        <v>68.406972065180696</v>
      </c>
      <c r="CL56" s="18">
        <f t="shared" si="20"/>
        <v>390.0054683097627</v>
      </c>
      <c r="CM56" s="18">
        <f t="shared" si="20"/>
        <v>567.8377779763473</v>
      </c>
      <c r="CN56" s="18">
        <f t="shared" si="20"/>
        <v>685.30361676388088</v>
      </c>
      <c r="CO56" s="18">
        <f t="shared" si="20"/>
        <v>740.32200429179284</v>
      </c>
      <c r="CP56" s="18">
        <f t="shared" si="20"/>
        <v>758.58192417737189</v>
      </c>
      <c r="CQ56" s="18">
        <f t="shared" si="20"/>
        <v>751.97709210745131</v>
      </c>
      <c r="CR56" s="18">
        <f t="shared" si="20"/>
        <v>715.02115137659325</v>
      </c>
      <c r="CS56" s="18">
        <f t="shared" si="20"/>
        <v>627.71255141081485</v>
      </c>
      <c r="CT56" s="18">
        <f t="shared" si="20"/>
        <v>474.64171084477692</v>
      </c>
      <c r="CU56" s="18">
        <f t="shared" si="20"/>
        <v>192.54576138995404</v>
      </c>
      <c r="CV56" s="18">
        <f t="shared" si="20"/>
        <v>21.403786013982739</v>
      </c>
      <c r="CW56">
        <f t="shared" si="21"/>
        <v>1</v>
      </c>
      <c r="CX56">
        <f t="shared" si="21"/>
        <v>1</v>
      </c>
      <c r="CY56">
        <f t="shared" si="21"/>
        <v>1</v>
      </c>
      <c r="CZ56">
        <f t="shared" si="21"/>
        <v>1</v>
      </c>
      <c r="DA56">
        <f t="shared" si="21"/>
        <v>1</v>
      </c>
      <c r="DB56">
        <f t="shared" si="21"/>
        <v>1</v>
      </c>
      <c r="DC56">
        <f t="shared" si="21"/>
        <v>1</v>
      </c>
      <c r="DD56">
        <f t="shared" si="21"/>
        <v>1</v>
      </c>
      <c r="DE56">
        <f t="shared" si="21"/>
        <v>1</v>
      </c>
      <c r="DF56">
        <f t="shared" si="21"/>
        <v>1</v>
      </c>
      <c r="DG56">
        <f t="shared" si="21"/>
        <v>1</v>
      </c>
      <c r="DH56">
        <f t="shared" si="21"/>
        <v>0</v>
      </c>
      <c r="DI56">
        <f t="shared" si="22"/>
        <v>1</v>
      </c>
      <c r="DJ56">
        <f t="shared" si="22"/>
        <v>1</v>
      </c>
      <c r="DK56">
        <f t="shared" si="22"/>
        <v>1</v>
      </c>
      <c r="DL56">
        <f t="shared" si="22"/>
        <v>1</v>
      </c>
      <c r="DM56">
        <f t="shared" si="22"/>
        <v>1</v>
      </c>
      <c r="DN56">
        <f t="shared" si="22"/>
        <v>1</v>
      </c>
      <c r="DO56">
        <f t="shared" si="22"/>
        <v>1</v>
      </c>
      <c r="DP56">
        <f t="shared" si="22"/>
        <v>1</v>
      </c>
      <c r="DQ56">
        <f t="shared" si="22"/>
        <v>1</v>
      </c>
      <c r="DR56">
        <f t="shared" si="22"/>
        <v>1</v>
      </c>
      <c r="DS56">
        <f t="shared" si="22"/>
        <v>1</v>
      </c>
      <c r="DT56">
        <f t="shared" si="22"/>
        <v>0</v>
      </c>
      <c r="DU56">
        <f t="shared" si="23"/>
        <v>14.694867885531075</v>
      </c>
      <c r="DV56">
        <f t="shared" si="23"/>
        <v>771.55313619927085</v>
      </c>
      <c r="DW56">
        <f t="shared" si="23"/>
        <v>2361.2515880271912</v>
      </c>
      <c r="DX56">
        <f t="shared" si="23"/>
        <v>4467.7699018527319</v>
      </c>
      <c r="DY56">
        <f t="shared" si="23"/>
        <v>6062.8130532059986</v>
      </c>
      <c r="DZ56">
        <f t="shared" si="23"/>
        <v>6789.9406850559035</v>
      </c>
      <c r="EA56">
        <f t="shared" si="23"/>
        <v>6515.2733322799531</v>
      </c>
      <c r="EB56">
        <f t="shared" si="23"/>
        <v>5249.8207049958455</v>
      </c>
      <c r="EC56">
        <f t="shared" si="23"/>
        <v>3260.0191625697653</v>
      </c>
      <c r="ED56">
        <f t="shared" si="23"/>
        <v>1330.1076386683196</v>
      </c>
      <c r="EE56">
        <f t="shared" si="23"/>
        <v>138.34267842294361</v>
      </c>
      <c r="EF56">
        <f t="shared" si="23"/>
        <v>0</v>
      </c>
      <c r="EG56">
        <f t="shared" si="24"/>
        <v>14.94074607099224</v>
      </c>
      <c r="EH56">
        <f t="shared" si="24"/>
        <v>772.77374129785153</v>
      </c>
      <c r="EI56">
        <f t="shared" si="24"/>
        <v>2362.6432073403189</v>
      </c>
      <c r="EJ56">
        <f t="shared" si="24"/>
        <v>4468.8421211519817</v>
      </c>
      <c r="EK56">
        <f t="shared" si="24"/>
        <v>6063.4162859204862</v>
      </c>
      <c r="EL56">
        <f t="shared" si="24"/>
        <v>6790.2644065404584</v>
      </c>
      <c r="EM56">
        <f t="shared" si="24"/>
        <v>6515.7071675853258</v>
      </c>
      <c r="EN56">
        <f t="shared" si="24"/>
        <v>5250.686183128455</v>
      </c>
      <c r="EO56">
        <f t="shared" si="24"/>
        <v>3261.3270831712093</v>
      </c>
      <c r="EP56">
        <f t="shared" si="24"/>
        <v>1331.4780242527868</v>
      </c>
      <c r="EQ56">
        <f t="shared" si="24"/>
        <v>139.01063033925897</v>
      </c>
      <c r="ER56">
        <f t="shared" si="24"/>
        <v>0</v>
      </c>
    </row>
    <row r="57" spans="2:148" x14ac:dyDescent="0.2">
      <c r="B57" s="179">
        <v>0.70833333333333304</v>
      </c>
      <c r="C57">
        <f t="shared" si="26"/>
        <v>-75</v>
      </c>
      <c r="D57">
        <f t="shared" si="25"/>
        <v>-1.3089969389957472</v>
      </c>
      <c r="E57">
        <f t="shared" si="27"/>
        <v>0</v>
      </c>
      <c r="F57">
        <f t="shared" si="27"/>
        <v>0</v>
      </c>
      <c r="G57">
        <f t="shared" si="27"/>
        <v>7.1849898973018043</v>
      </c>
      <c r="H57">
        <f t="shared" si="27"/>
        <v>16.508219884960099</v>
      </c>
      <c r="I57">
        <f t="shared" si="27"/>
        <v>23.667422081564197</v>
      </c>
      <c r="J57">
        <f t="shared" si="27"/>
        <v>27.173289632859714</v>
      </c>
      <c r="K57">
        <f t="shared" si="27"/>
        <v>25.831334732043345</v>
      </c>
      <c r="L57">
        <f t="shared" si="27"/>
        <v>19.958703045636753</v>
      </c>
      <c r="M57">
        <f t="shared" si="27"/>
        <v>11.185781336374305</v>
      </c>
      <c r="N57">
        <f t="shared" si="27"/>
        <v>2.0925849748941374</v>
      </c>
      <c r="O57">
        <f t="shared" si="27"/>
        <v>0</v>
      </c>
      <c r="P57">
        <f t="shared" si="27"/>
        <v>0</v>
      </c>
      <c r="Q57">
        <f t="shared" si="14"/>
        <v>3.1156564804798061</v>
      </c>
      <c r="R57">
        <f t="shared" si="14"/>
        <v>3.2239999999999998</v>
      </c>
      <c r="S57">
        <f t="shared" si="14"/>
        <v>3.3786462917128137</v>
      </c>
      <c r="T57">
        <f t="shared" si="14"/>
        <v>3.5352705079036948</v>
      </c>
      <c r="U57">
        <f t="shared" si="14"/>
        <v>3.6502364648816665</v>
      </c>
      <c r="V57">
        <f t="shared" si="14"/>
        <v>3.693135958752646</v>
      </c>
      <c r="W57">
        <f t="shared" si="14"/>
        <v>3.6522381371069166</v>
      </c>
      <c r="X57">
        <f t="shared" si="14"/>
        <v>3.5384622893764317</v>
      </c>
      <c r="Y57">
        <f t="shared" si="14"/>
        <v>3.3823471218275767</v>
      </c>
      <c r="Z57">
        <f t="shared" si="14"/>
        <v>3.225935692377552</v>
      </c>
      <c r="AA57">
        <f t="shared" si="14"/>
        <v>3.1156564804798061</v>
      </c>
      <c r="AB57">
        <f t="shared" si="14"/>
        <v>3.0760000000000001</v>
      </c>
      <c r="AC57">
        <f t="shared" si="15"/>
        <v>3.7499999999999881E-2</v>
      </c>
      <c r="AD57">
        <f t="shared" si="15"/>
        <v>3.7499999999999881E-2</v>
      </c>
      <c r="AE57">
        <f t="shared" si="15"/>
        <v>6.1521298318435169E-2</v>
      </c>
      <c r="AF57">
        <f t="shared" si="15"/>
        <v>7.9566273445561136E-2</v>
      </c>
      <c r="AG57">
        <f t="shared" si="15"/>
        <v>8.6420627497699909E-2</v>
      </c>
      <c r="AH57">
        <f t="shared" si="15"/>
        <v>8.8474678648824967E-2</v>
      </c>
      <c r="AI57">
        <f t="shared" si="15"/>
        <v>8.7759117945267306E-2</v>
      </c>
      <c r="AJ57">
        <f t="shared" si="15"/>
        <v>8.342483150098759E-2</v>
      </c>
      <c r="AK57">
        <f t="shared" si="15"/>
        <v>7.0854180648789483E-2</v>
      </c>
      <c r="AL57">
        <f t="shared" si="15"/>
        <v>4.5520597895949158E-2</v>
      </c>
      <c r="AM57">
        <f t="shared" si="15"/>
        <v>3.7499999999999881E-2</v>
      </c>
      <c r="AN57">
        <f t="shared" si="15"/>
        <v>3.7499999999999881E-2</v>
      </c>
      <c r="AO57">
        <f t="shared" si="16"/>
        <v>36.218241904286437</v>
      </c>
      <c r="AP57">
        <f t="shared" si="16"/>
        <v>36.218241904286437</v>
      </c>
      <c r="AQ57">
        <f t="shared" si="16"/>
        <v>6.5524400384080774</v>
      </c>
      <c r="AR57">
        <f t="shared" si="16"/>
        <v>3.2083416986281637</v>
      </c>
      <c r="AS57">
        <f t="shared" si="16"/>
        <v>2.3310494906000772</v>
      </c>
      <c r="AT57">
        <f t="shared" si="16"/>
        <v>2.0649807586817719</v>
      </c>
      <c r="AU57">
        <f t="shared" si="16"/>
        <v>2.1584331978807594</v>
      </c>
      <c r="AV57">
        <f t="shared" si="16"/>
        <v>2.7108394392306083</v>
      </c>
      <c r="AW57">
        <f t="shared" si="16"/>
        <v>4.514253557277522</v>
      </c>
      <c r="AX57">
        <f t="shared" si="16"/>
        <v>15.601251229172117</v>
      </c>
      <c r="AY57">
        <f t="shared" si="16"/>
        <v>36.218241904286437</v>
      </c>
      <c r="AZ57">
        <f t="shared" si="16"/>
        <v>36.218241904286437</v>
      </c>
      <c r="BA57">
        <f t="shared" si="17"/>
        <v>-0.12778744652547033</v>
      </c>
      <c r="BB57">
        <f t="shared" si="17"/>
        <v>-1.6562248815273517E-2</v>
      </c>
      <c r="BC57">
        <f t="shared" si="17"/>
        <v>0.12498214729799462</v>
      </c>
      <c r="BD57">
        <f t="shared" si="17"/>
        <v>0.28411998047510162</v>
      </c>
      <c r="BE57">
        <f t="shared" si="17"/>
        <v>0.40144130078286555</v>
      </c>
      <c r="BF57">
        <f t="shared" si="17"/>
        <v>0.45672120157184526</v>
      </c>
      <c r="BG57">
        <f t="shared" si="17"/>
        <v>0.43575223907155247</v>
      </c>
      <c r="BH57">
        <f t="shared" si="17"/>
        <v>0.34133232866423113</v>
      </c>
      <c r="BI57">
        <f t="shared" si="17"/>
        <v>0.19392424339061198</v>
      </c>
      <c r="BJ57">
        <f t="shared" si="17"/>
        <v>3.6393250538626076E-2</v>
      </c>
      <c r="BK57">
        <f t="shared" si="17"/>
        <v>-9.630722958145177E-2</v>
      </c>
      <c r="BL57">
        <f t="shared" si="17"/>
        <v>-0.15655290285730408</v>
      </c>
      <c r="BM57" s="180">
        <f>COS(RADIANS(90-E57))</f>
        <v>6.1257422745431001E-17</v>
      </c>
      <c r="BN57" s="180">
        <f t="shared" si="18"/>
        <v>6.1257422745431001E-17</v>
      </c>
      <c r="BO57" s="180">
        <f t="shared" si="18"/>
        <v>0.12507331930998811</v>
      </c>
      <c r="BP57" s="180">
        <f t="shared" si="18"/>
        <v>0.28415289794945564</v>
      </c>
      <c r="BQ57" s="180">
        <f t="shared" si="18"/>
        <v>0.40142707333933092</v>
      </c>
      <c r="BR57" s="180">
        <f t="shared" si="18"/>
        <v>0.45668324585370917</v>
      </c>
      <c r="BS57" s="180">
        <f t="shared" si="18"/>
        <v>0.43572341341462151</v>
      </c>
      <c r="BT57" s="180">
        <f t="shared" si="18"/>
        <v>0.34134275433735806</v>
      </c>
      <c r="BU57" s="180">
        <f t="shared" si="18"/>
        <v>0.19399090896221904</v>
      </c>
      <c r="BV57" s="180">
        <f t="shared" si="18"/>
        <v>3.651437871483082E-2</v>
      </c>
      <c r="BW57" s="180">
        <f t="shared" si="18"/>
        <v>6.1257422745431001E-17</v>
      </c>
      <c r="BX57" s="180">
        <f t="shared" si="18"/>
        <v>6.1257422745431001E-17</v>
      </c>
      <c r="BY57" s="180">
        <f t="shared" si="19"/>
        <v>0</v>
      </c>
      <c r="BZ57" s="180">
        <f t="shared" si="19"/>
        <v>0</v>
      </c>
      <c r="CA57" s="180">
        <f t="shared" si="19"/>
        <v>0.12507331930998811</v>
      </c>
      <c r="CB57" s="180">
        <f t="shared" si="19"/>
        <v>0.28415289794945564</v>
      </c>
      <c r="CC57" s="180">
        <f t="shared" si="19"/>
        <v>0.40142707333933092</v>
      </c>
      <c r="CD57" s="180">
        <f t="shared" si="19"/>
        <v>0.45668324585370917</v>
      </c>
      <c r="CE57" s="180">
        <f t="shared" si="19"/>
        <v>0.43572341341462151</v>
      </c>
      <c r="CF57" s="180">
        <f t="shared" si="19"/>
        <v>0.34134275433735806</v>
      </c>
      <c r="CG57" s="180">
        <f t="shared" si="19"/>
        <v>0.19399090896221904</v>
      </c>
      <c r="CH57" s="180">
        <f t="shared" si="19"/>
        <v>3.651437871483082E-2</v>
      </c>
      <c r="CI57" s="180">
        <f t="shared" si="19"/>
        <v>0</v>
      </c>
      <c r="CJ57" s="180">
        <f t="shared" si="19"/>
        <v>0</v>
      </c>
      <c r="CK57">
        <f t="shared" si="20"/>
        <v>20.284401274960064</v>
      </c>
      <c r="CL57">
        <f t="shared" si="20"/>
        <v>17.360767793289341</v>
      </c>
      <c r="CM57">
        <f t="shared" si="20"/>
        <v>349.9209981807561</v>
      </c>
      <c r="CN57">
        <f t="shared" si="20"/>
        <v>544.48605693416528</v>
      </c>
      <c r="CO57">
        <f t="shared" si="20"/>
        <v>633.91114360953941</v>
      </c>
      <c r="CP57">
        <f t="shared" si="20"/>
        <v>667.24601828170239</v>
      </c>
      <c r="CQ57">
        <f t="shared" si="20"/>
        <v>655.64850689805428</v>
      </c>
      <c r="CR57">
        <f t="shared" si="20"/>
        <v>593.34874280081817</v>
      </c>
      <c r="CS57">
        <f t="shared" si="20"/>
        <v>454.56735732917582</v>
      </c>
      <c r="CT57">
        <f t="shared" si="20"/>
        <v>137.97496466208329</v>
      </c>
      <c r="CU57">
        <f t="shared" si="20"/>
        <v>20.112939786998474</v>
      </c>
      <c r="CV57">
        <f t="shared" si="20"/>
        <v>21.403786013982739</v>
      </c>
      <c r="CW57">
        <f t="shared" si="21"/>
        <v>0</v>
      </c>
      <c r="CX57">
        <f t="shared" si="21"/>
        <v>0</v>
      </c>
      <c r="CY57">
        <f t="shared" si="21"/>
        <v>1</v>
      </c>
      <c r="CZ57">
        <f t="shared" si="21"/>
        <v>1</v>
      </c>
      <c r="DA57">
        <f t="shared" si="21"/>
        <v>1</v>
      </c>
      <c r="DB57">
        <f t="shared" si="21"/>
        <v>1</v>
      </c>
      <c r="DC57">
        <f t="shared" si="21"/>
        <v>1</v>
      </c>
      <c r="DD57">
        <f t="shared" si="21"/>
        <v>1</v>
      </c>
      <c r="DE57">
        <f t="shared" si="21"/>
        <v>1</v>
      </c>
      <c r="DF57">
        <f t="shared" si="21"/>
        <v>1</v>
      </c>
      <c r="DG57">
        <f t="shared" si="21"/>
        <v>0</v>
      </c>
      <c r="DH57">
        <f t="shared" si="21"/>
        <v>0</v>
      </c>
      <c r="DI57">
        <f t="shared" si="22"/>
        <v>0</v>
      </c>
      <c r="DJ57">
        <f t="shared" si="22"/>
        <v>0</v>
      </c>
      <c r="DK57">
        <f t="shared" si="22"/>
        <v>1</v>
      </c>
      <c r="DL57">
        <f t="shared" si="22"/>
        <v>1</v>
      </c>
      <c r="DM57">
        <f t="shared" si="22"/>
        <v>1</v>
      </c>
      <c r="DN57">
        <f t="shared" si="22"/>
        <v>1</v>
      </c>
      <c r="DO57">
        <f t="shared" si="22"/>
        <v>1</v>
      </c>
      <c r="DP57">
        <f t="shared" si="22"/>
        <v>1</v>
      </c>
      <c r="DQ57">
        <f t="shared" si="22"/>
        <v>1</v>
      </c>
      <c r="DR57">
        <f t="shared" si="22"/>
        <v>1</v>
      </c>
      <c r="DS57">
        <f t="shared" si="22"/>
        <v>0</v>
      </c>
      <c r="DT57">
        <f t="shared" si="22"/>
        <v>0</v>
      </c>
      <c r="DU57">
        <f t="shared" si="23"/>
        <v>0</v>
      </c>
      <c r="DV57">
        <f t="shared" si="23"/>
        <v>0</v>
      </c>
      <c r="DW57">
        <f t="shared" si="23"/>
        <v>656.00816605932846</v>
      </c>
      <c r="DX57">
        <f t="shared" si="23"/>
        <v>2320.4905179765015</v>
      </c>
      <c r="DY57">
        <f t="shared" si="23"/>
        <v>3817.1717110705108</v>
      </c>
      <c r="DZ57">
        <f t="shared" si="23"/>
        <v>4571.1810482047285</v>
      </c>
      <c r="EA57">
        <f t="shared" si="23"/>
        <v>4285.5045738712106</v>
      </c>
      <c r="EB57">
        <f t="shared" si="23"/>
        <v>3037.9366213529584</v>
      </c>
      <c r="EC57">
        <f t="shared" si="23"/>
        <v>1322.2744626019557</v>
      </c>
      <c r="ED57">
        <f t="shared" si="23"/>
        <v>75.320361855079142</v>
      </c>
      <c r="EE57">
        <f t="shared" si="23"/>
        <v>0</v>
      </c>
      <c r="EF57">
        <f t="shared" si="23"/>
        <v>0</v>
      </c>
      <c r="EG57">
        <f t="shared" si="24"/>
        <v>0</v>
      </c>
      <c r="EH57">
        <f t="shared" si="24"/>
        <v>0</v>
      </c>
      <c r="EI57">
        <f t="shared" si="24"/>
        <v>656.4867110809721</v>
      </c>
      <c r="EJ57">
        <f t="shared" si="24"/>
        <v>2320.7593645637307</v>
      </c>
      <c r="EK57">
        <f t="shared" si="24"/>
        <v>3817.0364270454857</v>
      </c>
      <c r="EL57">
        <f t="shared" si="24"/>
        <v>4570.8011611777683</v>
      </c>
      <c r="EM57">
        <f t="shared" si="24"/>
        <v>4285.2210813873035</v>
      </c>
      <c r="EN57">
        <f t="shared" si="24"/>
        <v>3038.0294122535988</v>
      </c>
      <c r="EO57">
        <f t="shared" si="24"/>
        <v>1322.7290224926096</v>
      </c>
      <c r="EP57">
        <f t="shared" si="24"/>
        <v>75.57105169255064</v>
      </c>
      <c r="EQ57">
        <f t="shared" si="24"/>
        <v>0</v>
      </c>
      <c r="ER57">
        <f t="shared" si="24"/>
        <v>0</v>
      </c>
    </row>
    <row r="58" spans="2:148" x14ac:dyDescent="0.2">
      <c r="B58" s="179">
        <v>0.75</v>
      </c>
      <c r="C58">
        <f t="shared" si="26"/>
        <v>-90</v>
      </c>
      <c r="D58">
        <f t="shared" si="25"/>
        <v>-1.5707963267948966</v>
      </c>
      <c r="E58">
        <f t="shared" si="27"/>
        <v>0</v>
      </c>
      <c r="F58">
        <f t="shared" si="27"/>
        <v>0</v>
      </c>
      <c r="G58">
        <f t="shared" si="27"/>
        <v>0</v>
      </c>
      <c r="H58">
        <f t="shared" si="27"/>
        <v>7.0400185402133246</v>
      </c>
      <c r="I58">
        <f t="shared" si="27"/>
        <v>14.256539057243145</v>
      </c>
      <c r="J58">
        <f t="shared" si="27"/>
        <v>17.840747038018534</v>
      </c>
      <c r="K58">
        <f t="shared" si="27"/>
        <v>16.464196054642912</v>
      </c>
      <c r="L58">
        <f t="shared" si="27"/>
        <v>10.502945416347544</v>
      </c>
      <c r="M58">
        <f t="shared" si="27"/>
        <v>1.7458592365885153</v>
      </c>
      <c r="N58">
        <f t="shared" si="27"/>
        <v>0</v>
      </c>
      <c r="O58">
        <f t="shared" si="27"/>
        <v>0</v>
      </c>
      <c r="P58">
        <f t="shared" si="27"/>
        <v>0</v>
      </c>
      <c r="Q58">
        <f t="shared" si="14"/>
        <v>3.1156564804798061</v>
      </c>
      <c r="R58">
        <f t="shared" si="14"/>
        <v>3.2239999999999998</v>
      </c>
      <c r="S58">
        <f t="shared" si="14"/>
        <v>3.3719999999999999</v>
      </c>
      <c r="T58">
        <f t="shared" si="14"/>
        <v>3.5265121896551928</v>
      </c>
      <c r="U58">
        <f t="shared" si="14"/>
        <v>3.6415311674840609</v>
      </c>
      <c r="V58">
        <f t="shared" si="14"/>
        <v>3.6845031281719289</v>
      </c>
      <c r="W58">
        <f t="shared" si="14"/>
        <v>3.6435733043021048</v>
      </c>
      <c r="X58">
        <f t="shared" si="14"/>
        <v>3.5297154818696432</v>
      </c>
      <c r="Y58">
        <f t="shared" si="14"/>
        <v>3.3736149625736056</v>
      </c>
      <c r="Z58">
        <f t="shared" si="14"/>
        <v>3.2239999999999998</v>
      </c>
      <c r="AA58">
        <f t="shared" si="14"/>
        <v>3.1156564804798061</v>
      </c>
      <c r="AB58">
        <f t="shared" si="14"/>
        <v>3.0760000000000001</v>
      </c>
      <c r="AC58">
        <f t="shared" si="15"/>
        <v>3.7499999999999881E-2</v>
      </c>
      <c r="AD58">
        <f t="shared" si="15"/>
        <v>3.7499999999999881E-2</v>
      </c>
      <c r="AE58">
        <f t="shared" si="15"/>
        <v>3.7499999999999881E-2</v>
      </c>
      <c r="AF58">
        <f t="shared" si="15"/>
        <v>6.113207017040688E-2</v>
      </c>
      <c r="AG58">
        <f t="shared" si="15"/>
        <v>7.6339114833501864E-2</v>
      </c>
      <c r="AH58">
        <f t="shared" si="15"/>
        <v>8.1199359578791958E-2</v>
      </c>
      <c r="AI58">
        <f t="shared" si="15"/>
        <v>7.9508979505330563E-2</v>
      </c>
      <c r="AJ58">
        <f t="shared" si="15"/>
        <v>6.9445857725962234E-2</v>
      </c>
      <c r="AK58">
        <f t="shared" si="15"/>
        <v>4.4251054199385097E-2</v>
      </c>
      <c r="AL58">
        <f t="shared" si="15"/>
        <v>3.7499999999999881E-2</v>
      </c>
      <c r="AM58">
        <f t="shared" si="15"/>
        <v>3.7499999999999881E-2</v>
      </c>
      <c r="AN58">
        <f t="shared" si="15"/>
        <v>3.7499999999999881E-2</v>
      </c>
      <c r="AO58">
        <f t="shared" si="16"/>
        <v>36.218241904286437</v>
      </c>
      <c r="AP58">
        <f t="shared" si="16"/>
        <v>36.218241904286437</v>
      </c>
      <c r="AQ58">
        <f t="shared" si="16"/>
        <v>36.218241904286437</v>
      </c>
      <c r="AR58">
        <f t="shared" si="16"/>
        <v>6.6620082149217099</v>
      </c>
      <c r="AS58">
        <f t="shared" si="16"/>
        <v>3.6523808863517853</v>
      </c>
      <c r="AT58">
        <f t="shared" si="16"/>
        <v>2.9948102549761644</v>
      </c>
      <c r="AU58">
        <f t="shared" si="16"/>
        <v>3.215944806692892</v>
      </c>
      <c r="AV58">
        <f t="shared" si="16"/>
        <v>4.7660654019137407</v>
      </c>
      <c r="AW58">
        <f t="shared" si="16"/>
        <v>17.225519232211667</v>
      </c>
      <c r="AX58">
        <f t="shared" si="16"/>
        <v>36.218241904286437</v>
      </c>
      <c r="AY58">
        <f t="shared" si="16"/>
        <v>36.218241904286437</v>
      </c>
      <c r="AZ58">
        <f t="shared" si="16"/>
        <v>36.218241904286437</v>
      </c>
      <c r="BA58">
        <f t="shared" si="17"/>
        <v>-0.28028861953779027</v>
      </c>
      <c r="BB58">
        <f t="shared" si="17"/>
        <v>-0.17586853341506808</v>
      </c>
      <c r="BC58">
        <f t="shared" si="17"/>
        <v>-3.8390673334693141E-2</v>
      </c>
      <c r="BD58">
        <f t="shared" si="17"/>
        <v>0.122606254593187</v>
      </c>
      <c r="BE58">
        <f t="shared" si="17"/>
        <v>0.24635169757158226</v>
      </c>
      <c r="BF58">
        <f t="shared" si="17"/>
        <v>0.30648157095217637</v>
      </c>
      <c r="BG58">
        <f t="shared" si="17"/>
        <v>0.28351715990810317</v>
      </c>
      <c r="BH58">
        <f t="shared" si="17"/>
        <v>0.18235105411452643</v>
      </c>
      <c r="BI58">
        <f t="shared" si="17"/>
        <v>3.0477137689640381E-2</v>
      </c>
      <c r="BJ58">
        <f t="shared" si="17"/>
        <v>-0.12503742561575776</v>
      </c>
      <c r="BK58">
        <f t="shared" si="17"/>
        <v>-0.25106010976799914</v>
      </c>
      <c r="BL58">
        <f t="shared" si="17"/>
        <v>-0.30676661582369141</v>
      </c>
      <c r="BM58" s="180">
        <f t="shared" si="18"/>
        <v>6.1257422745431001E-17</v>
      </c>
      <c r="BN58" s="180">
        <f t="shared" si="18"/>
        <v>6.1257422745431001E-17</v>
      </c>
      <c r="BO58" s="180">
        <f t="shared" si="18"/>
        <v>6.1257422745431001E-17</v>
      </c>
      <c r="BP58" s="180">
        <f t="shared" si="18"/>
        <v>0.12256256273118349</v>
      </c>
      <c r="BQ58" s="180">
        <f t="shared" si="18"/>
        <v>0.24626390788735833</v>
      </c>
      <c r="BR58" s="180">
        <f t="shared" si="18"/>
        <v>0.30637235343673169</v>
      </c>
      <c r="BS58" s="180">
        <f t="shared" si="18"/>
        <v>0.28341612597090754</v>
      </c>
      <c r="BT58" s="180">
        <f t="shared" si="18"/>
        <v>0.18228607164589958</v>
      </c>
      <c r="BU58" s="180">
        <f t="shared" si="18"/>
        <v>3.0466276882427881E-2</v>
      </c>
      <c r="BV58" s="180">
        <f t="shared" si="18"/>
        <v>6.1257422745431001E-17</v>
      </c>
      <c r="BW58" s="180">
        <f t="shared" si="18"/>
        <v>6.1257422745431001E-17</v>
      </c>
      <c r="BX58" s="180">
        <f t="shared" si="18"/>
        <v>6.1257422745431001E-17</v>
      </c>
      <c r="BY58" s="180">
        <f t="shared" si="19"/>
        <v>0</v>
      </c>
      <c r="BZ58" s="180">
        <f t="shared" si="19"/>
        <v>0</v>
      </c>
      <c r="CA58" s="180">
        <f t="shared" si="19"/>
        <v>0</v>
      </c>
      <c r="CB58" s="180">
        <f t="shared" si="19"/>
        <v>0.12256256273118349</v>
      </c>
      <c r="CC58" s="180">
        <f t="shared" si="19"/>
        <v>0.24626390788735833</v>
      </c>
      <c r="CD58" s="180">
        <f t="shared" si="19"/>
        <v>0.30637235343673169</v>
      </c>
      <c r="CE58" s="180">
        <f t="shared" si="19"/>
        <v>0.28341612597090754</v>
      </c>
      <c r="CF58" s="180">
        <f t="shared" si="19"/>
        <v>0.18228607164589958</v>
      </c>
      <c r="CG58" s="180">
        <f t="shared" si="19"/>
        <v>3.0466276882427881E-2</v>
      </c>
      <c r="CH58" s="180">
        <f t="shared" si="19"/>
        <v>0</v>
      </c>
      <c r="CI58" s="180">
        <f t="shared" si="19"/>
        <v>0</v>
      </c>
      <c r="CJ58" s="180">
        <f t="shared" si="19"/>
        <v>0</v>
      </c>
      <c r="CK58">
        <f t="shared" si="20"/>
        <v>20.284401274960064</v>
      </c>
      <c r="CL58">
        <f t="shared" si="20"/>
        <v>17.360767793289341</v>
      </c>
      <c r="CM58">
        <f t="shared" si="20"/>
        <v>14.011696302994885</v>
      </c>
      <c r="CN58">
        <f t="shared" si="20"/>
        <v>319.28868505104674</v>
      </c>
      <c r="CO58">
        <f t="shared" si="20"/>
        <v>479.10592711021644</v>
      </c>
      <c r="CP58">
        <f t="shared" si="20"/>
        <v>534.80598453313871</v>
      </c>
      <c r="CQ58">
        <f t="shared" si="20"/>
        <v>515.83703304472476</v>
      </c>
      <c r="CR58">
        <f t="shared" si="20"/>
        <v>410.64646894665901</v>
      </c>
      <c r="CS58">
        <f t="shared" si="20"/>
        <v>102.4805768751698</v>
      </c>
      <c r="CT58">
        <f t="shared" si="20"/>
        <v>17.103383011798549</v>
      </c>
      <c r="CU58">
        <f t="shared" si="20"/>
        <v>20.112939786998474</v>
      </c>
      <c r="CV58">
        <f t="shared" si="20"/>
        <v>21.403786013982739</v>
      </c>
      <c r="CW58">
        <f t="shared" si="21"/>
        <v>0</v>
      </c>
      <c r="CX58">
        <f t="shared" si="21"/>
        <v>0</v>
      </c>
      <c r="CY58">
        <f t="shared" si="21"/>
        <v>0</v>
      </c>
      <c r="CZ58">
        <f t="shared" si="21"/>
        <v>1</v>
      </c>
      <c r="DA58">
        <f t="shared" si="21"/>
        <v>1</v>
      </c>
      <c r="DB58">
        <f t="shared" si="21"/>
        <v>1</v>
      </c>
      <c r="DC58">
        <f t="shared" si="21"/>
        <v>1</v>
      </c>
      <c r="DD58">
        <f t="shared" si="21"/>
        <v>1</v>
      </c>
      <c r="DE58">
        <f t="shared" si="21"/>
        <v>1</v>
      </c>
      <c r="DF58">
        <f t="shared" si="21"/>
        <v>0</v>
      </c>
      <c r="DG58">
        <f t="shared" si="21"/>
        <v>0</v>
      </c>
      <c r="DH58">
        <f t="shared" si="21"/>
        <v>0</v>
      </c>
      <c r="DI58">
        <f t="shared" si="22"/>
        <v>0</v>
      </c>
      <c r="DJ58">
        <f t="shared" si="22"/>
        <v>0</v>
      </c>
      <c r="DK58">
        <f t="shared" si="22"/>
        <v>0</v>
      </c>
      <c r="DL58">
        <f t="shared" si="22"/>
        <v>1</v>
      </c>
      <c r="DM58">
        <f t="shared" si="22"/>
        <v>1</v>
      </c>
      <c r="DN58">
        <f t="shared" si="22"/>
        <v>1</v>
      </c>
      <c r="DO58">
        <f t="shared" si="22"/>
        <v>1</v>
      </c>
      <c r="DP58">
        <f t="shared" si="22"/>
        <v>1</v>
      </c>
      <c r="DQ58">
        <f t="shared" si="22"/>
        <v>1</v>
      </c>
      <c r="DR58">
        <f t="shared" si="22"/>
        <v>0</v>
      </c>
      <c r="DS58">
        <f t="shared" si="22"/>
        <v>0</v>
      </c>
      <c r="DT58">
        <f t="shared" si="22"/>
        <v>0</v>
      </c>
      <c r="DU58">
        <f t="shared" si="23"/>
        <v>0</v>
      </c>
      <c r="DV58">
        <f t="shared" si="23"/>
        <v>0</v>
      </c>
      <c r="DW58">
        <f t="shared" si="23"/>
        <v>0</v>
      </c>
      <c r="DX58">
        <f t="shared" si="23"/>
        <v>587.20184712138803</v>
      </c>
      <c r="DY58">
        <f t="shared" si="23"/>
        <v>1770.4283769031285</v>
      </c>
      <c r="DZ58">
        <f t="shared" si="23"/>
        <v>2458.6226744151254</v>
      </c>
      <c r="EA58">
        <f t="shared" si="23"/>
        <v>2193.7297587639409</v>
      </c>
      <c r="EB58">
        <f t="shared" si="23"/>
        <v>1123.2272472124712</v>
      </c>
      <c r="EC58">
        <f t="shared" si="23"/>
        <v>46.849719779074888</v>
      </c>
      <c r="ED58">
        <f t="shared" si="23"/>
        <v>0</v>
      </c>
      <c r="EE58">
        <f t="shared" si="23"/>
        <v>0</v>
      </c>
      <c r="EF58">
        <f t="shared" si="23"/>
        <v>0</v>
      </c>
      <c r="EG58">
        <f t="shared" si="24"/>
        <v>0</v>
      </c>
      <c r="EH58">
        <f t="shared" si="24"/>
        <v>0</v>
      </c>
      <c r="EI58">
        <f t="shared" si="24"/>
        <v>0</v>
      </c>
      <c r="EJ58">
        <f t="shared" si="24"/>
        <v>586.99259236389003</v>
      </c>
      <c r="EK58">
        <f t="shared" si="24"/>
        <v>1769.7974685323663</v>
      </c>
      <c r="EL58">
        <f t="shared" si="24"/>
        <v>2457.7465217019908</v>
      </c>
      <c r="EM58">
        <f t="shared" si="24"/>
        <v>2192.9480030679438</v>
      </c>
      <c r="EN58">
        <f t="shared" si="24"/>
        <v>1122.8269748931955</v>
      </c>
      <c r="EO58">
        <f t="shared" si="24"/>
        <v>46.833024452247884</v>
      </c>
      <c r="EP58">
        <f t="shared" si="24"/>
        <v>0</v>
      </c>
      <c r="EQ58">
        <f t="shared" si="24"/>
        <v>0</v>
      </c>
      <c r="ER58">
        <f t="shared" si="24"/>
        <v>0</v>
      </c>
    </row>
    <row r="59" spans="2:148" x14ac:dyDescent="0.2">
      <c r="B59" s="179">
        <v>0.79166666666666696</v>
      </c>
      <c r="C59">
        <f>C58-15</f>
        <v>-105</v>
      </c>
      <c r="D59">
        <f t="shared" si="25"/>
        <v>-1.8325957145940461</v>
      </c>
      <c r="E59">
        <f t="shared" si="27"/>
        <v>0</v>
      </c>
      <c r="F59">
        <f t="shared" si="27"/>
        <v>0</v>
      </c>
      <c r="G59">
        <f t="shared" si="27"/>
        <v>0</v>
      </c>
      <c r="H59">
        <f t="shared" si="27"/>
        <v>0</v>
      </c>
      <c r="I59">
        <f t="shared" si="27"/>
        <v>5.2269351494818466</v>
      </c>
      <c r="J59">
        <f t="shared" si="27"/>
        <v>8.9783626913282006</v>
      </c>
      <c r="K59">
        <f t="shared" si="27"/>
        <v>7.5336725410334822</v>
      </c>
      <c r="L59">
        <f t="shared" si="27"/>
        <v>1.3310656742380473</v>
      </c>
      <c r="M59">
        <f t="shared" si="27"/>
        <v>0</v>
      </c>
      <c r="N59">
        <f t="shared" si="27"/>
        <v>0</v>
      </c>
      <c r="O59">
        <f t="shared" si="27"/>
        <v>0</v>
      </c>
      <c r="P59">
        <f t="shared" si="27"/>
        <v>0</v>
      </c>
      <c r="Q59">
        <f t="shared" si="14"/>
        <v>3.1156564804798061</v>
      </c>
      <c r="R59">
        <f t="shared" si="14"/>
        <v>3.2239999999999998</v>
      </c>
      <c r="S59">
        <f t="shared" si="14"/>
        <v>3.3719999999999999</v>
      </c>
      <c r="T59">
        <f t="shared" si="14"/>
        <v>3.52</v>
      </c>
      <c r="U59">
        <f t="shared" si="14"/>
        <v>3.6331785626119677</v>
      </c>
      <c r="V59">
        <f t="shared" si="14"/>
        <v>3.6763052054913001</v>
      </c>
      <c r="W59">
        <f t="shared" si="14"/>
        <v>3.6353123512224239</v>
      </c>
      <c r="X59">
        <f t="shared" si="14"/>
        <v>3.5212312683645139</v>
      </c>
      <c r="Y59">
        <f t="shared" si="14"/>
        <v>3.3719999999999999</v>
      </c>
      <c r="Z59">
        <f t="shared" si="14"/>
        <v>3.2239999999999998</v>
      </c>
      <c r="AA59">
        <f t="shared" si="14"/>
        <v>3.1156564804798061</v>
      </c>
      <c r="AB59">
        <f t="shared" si="14"/>
        <v>3.0760000000000001</v>
      </c>
      <c r="AC59">
        <f t="shared" si="15"/>
        <v>3.7499999999999881E-2</v>
      </c>
      <c r="AD59">
        <f t="shared" si="15"/>
        <v>3.7499999999999881E-2</v>
      </c>
      <c r="AE59">
        <f t="shared" si="15"/>
        <v>3.7499999999999881E-2</v>
      </c>
      <c r="AF59">
        <f t="shared" si="15"/>
        <v>3.7499999999999881E-2</v>
      </c>
      <c r="AG59">
        <f t="shared" si="15"/>
        <v>5.5943697512866764E-2</v>
      </c>
      <c r="AH59">
        <f t="shared" si="15"/>
        <v>6.6033551956569084E-2</v>
      </c>
      <c r="AI59">
        <f t="shared" si="15"/>
        <v>6.24422496645132E-2</v>
      </c>
      <c r="AJ59">
        <f t="shared" si="15"/>
        <v>4.2701350342899708E-2</v>
      </c>
      <c r="AK59">
        <f t="shared" si="15"/>
        <v>3.7499999999999881E-2</v>
      </c>
      <c r="AL59">
        <f t="shared" si="15"/>
        <v>3.7499999999999881E-2</v>
      </c>
      <c r="AM59">
        <f t="shared" si="15"/>
        <v>3.7499999999999881E-2</v>
      </c>
      <c r="AN59">
        <f t="shared" si="15"/>
        <v>3.7499999999999881E-2</v>
      </c>
      <c r="AO59">
        <f t="shared" si="16"/>
        <v>36.218241904286437</v>
      </c>
      <c r="AP59">
        <f t="shared" si="16"/>
        <v>36.218241904286437</v>
      </c>
      <c r="AQ59">
        <f t="shared" si="16"/>
        <v>36.218241904286437</v>
      </c>
      <c r="AR59">
        <f t="shared" si="16"/>
        <v>36.218241904286437</v>
      </c>
      <c r="AS59">
        <f t="shared" si="16"/>
        <v>8.4278374059653913</v>
      </c>
      <c r="AT59">
        <f t="shared" si="16"/>
        <v>5.4467496015082153</v>
      </c>
      <c r="AU59">
        <f t="shared" si="16"/>
        <v>6.3032334730694108</v>
      </c>
      <c r="AV59">
        <f t="shared" si="16"/>
        <v>19.676662241819919</v>
      </c>
      <c r="AW59">
        <f t="shared" si="16"/>
        <v>36.218241904286437</v>
      </c>
      <c r="AX59">
        <f t="shared" si="16"/>
        <v>36.218241904286437</v>
      </c>
      <c r="AY59">
        <f t="shared" si="16"/>
        <v>36.218241904286437</v>
      </c>
      <c r="AZ59">
        <f t="shared" si="16"/>
        <v>36.218241904286437</v>
      </c>
      <c r="BA59">
        <f t="shared" si="17"/>
        <v>-0.43278979255011041</v>
      </c>
      <c r="BB59">
        <f t="shared" si="17"/>
        <v>-0.33517481801486282</v>
      </c>
      <c r="BC59">
        <f t="shared" si="17"/>
        <v>-0.20176349396738102</v>
      </c>
      <c r="BD59">
        <f t="shared" si="17"/>
        <v>-3.8907471288727805E-2</v>
      </c>
      <c r="BE59">
        <f t="shared" si="17"/>
        <v>9.1262094360298807E-2</v>
      </c>
      <c r="BF59">
        <f t="shared" si="17"/>
        <v>0.15624194033250732</v>
      </c>
      <c r="BG59">
        <f t="shared" si="17"/>
        <v>0.1312820807446537</v>
      </c>
      <c r="BH59">
        <f t="shared" si="17"/>
        <v>2.3369779564821669E-2</v>
      </c>
      <c r="BI59">
        <f t="shared" si="17"/>
        <v>-0.13296996801133137</v>
      </c>
      <c r="BJ59">
        <f t="shared" si="17"/>
        <v>-0.2864681017701417</v>
      </c>
      <c r="BK59">
        <f t="shared" si="17"/>
        <v>-0.40581298995454668</v>
      </c>
      <c r="BL59">
        <f t="shared" si="17"/>
        <v>-0.45698032879007894</v>
      </c>
      <c r="BM59" s="180">
        <f t="shared" si="18"/>
        <v>6.1257422745431001E-17</v>
      </c>
      <c r="BN59" s="180">
        <f t="shared" si="18"/>
        <v>6.1257422745431001E-17</v>
      </c>
      <c r="BO59" s="180">
        <f t="shared" si="18"/>
        <v>6.1257422745431001E-17</v>
      </c>
      <c r="BP59" s="180">
        <f t="shared" si="18"/>
        <v>6.1257422745431001E-17</v>
      </c>
      <c r="BQ59" s="180">
        <f t="shared" si="18"/>
        <v>9.1100742435385573E-2</v>
      </c>
      <c r="BR59" s="180">
        <f t="shared" si="18"/>
        <v>0.15606146101975399</v>
      </c>
      <c r="BS59" s="180">
        <f t="shared" si="18"/>
        <v>0.13110883852719402</v>
      </c>
      <c r="BT59" s="180">
        <f t="shared" si="18"/>
        <v>2.3229388954440999E-2</v>
      </c>
      <c r="BU59" s="180">
        <f t="shared" si="18"/>
        <v>6.1257422745431001E-17</v>
      </c>
      <c r="BV59" s="180">
        <f t="shared" si="18"/>
        <v>6.1257422745431001E-17</v>
      </c>
      <c r="BW59" s="180">
        <f t="shared" si="18"/>
        <v>6.1257422745431001E-17</v>
      </c>
      <c r="BX59" s="180">
        <f t="shared" si="18"/>
        <v>6.1257422745431001E-17</v>
      </c>
      <c r="BY59" s="180">
        <f t="shared" si="19"/>
        <v>0</v>
      </c>
      <c r="BZ59" s="180">
        <f t="shared" si="19"/>
        <v>0</v>
      </c>
      <c r="CA59" s="180">
        <f t="shared" si="19"/>
        <v>0</v>
      </c>
      <c r="CB59" s="180">
        <f t="shared" si="19"/>
        <v>0</v>
      </c>
      <c r="CC59" s="180">
        <f t="shared" si="19"/>
        <v>9.1100742435385573E-2</v>
      </c>
      <c r="CD59" s="180">
        <f t="shared" si="19"/>
        <v>0.15606146101975399</v>
      </c>
      <c r="CE59" s="180">
        <f t="shared" si="19"/>
        <v>0.13110883852719402</v>
      </c>
      <c r="CF59" s="180">
        <f t="shared" si="19"/>
        <v>2.3229388954440999E-2</v>
      </c>
      <c r="CG59" s="180">
        <f t="shared" si="19"/>
        <v>0</v>
      </c>
      <c r="CH59" s="180">
        <f t="shared" si="19"/>
        <v>0</v>
      </c>
      <c r="CI59" s="180">
        <f t="shared" si="19"/>
        <v>0</v>
      </c>
      <c r="CJ59" s="180">
        <f t="shared" si="19"/>
        <v>0</v>
      </c>
      <c r="CK59">
        <f t="shared" si="20"/>
        <v>20.284401274960064</v>
      </c>
      <c r="CL59">
        <f t="shared" si="20"/>
        <v>17.360767793289341</v>
      </c>
      <c r="CM59">
        <f t="shared" si="20"/>
        <v>14.011696302994885</v>
      </c>
      <c r="CN59">
        <f t="shared" si="20"/>
        <v>11.262778892975057</v>
      </c>
      <c r="CO59">
        <f t="shared" si="20"/>
        <v>238.47506027903634</v>
      </c>
      <c r="CP59">
        <f t="shared" si="20"/>
        <v>349.19799927927579</v>
      </c>
      <c r="CQ59">
        <f t="shared" si="20"/>
        <v>313.13180060085261</v>
      </c>
      <c r="CR59">
        <f t="shared" si="20"/>
        <v>68.538878238209023</v>
      </c>
      <c r="CS59">
        <f t="shared" si="20"/>
        <v>13.75504659234451</v>
      </c>
      <c r="CT59">
        <f t="shared" si="20"/>
        <v>17.103383011798549</v>
      </c>
      <c r="CU59">
        <f t="shared" si="20"/>
        <v>20.112939786998474</v>
      </c>
      <c r="CV59">
        <f t="shared" si="20"/>
        <v>21.403786013982739</v>
      </c>
      <c r="CW59">
        <f t="shared" si="21"/>
        <v>0</v>
      </c>
      <c r="CX59">
        <f t="shared" si="21"/>
        <v>0</v>
      </c>
      <c r="CY59">
        <f t="shared" si="21"/>
        <v>0</v>
      </c>
      <c r="CZ59">
        <f t="shared" si="21"/>
        <v>0</v>
      </c>
      <c r="DA59">
        <f t="shared" si="21"/>
        <v>1</v>
      </c>
      <c r="DB59">
        <f t="shared" si="21"/>
        <v>1</v>
      </c>
      <c r="DC59">
        <f t="shared" si="21"/>
        <v>1</v>
      </c>
      <c r="DD59">
        <f t="shared" si="21"/>
        <v>1</v>
      </c>
      <c r="DE59">
        <f t="shared" si="21"/>
        <v>0</v>
      </c>
      <c r="DF59">
        <f t="shared" si="21"/>
        <v>0</v>
      </c>
      <c r="DG59">
        <f t="shared" si="21"/>
        <v>0</v>
      </c>
      <c r="DH59">
        <f t="shared" si="21"/>
        <v>0</v>
      </c>
      <c r="DI59">
        <f t="shared" si="22"/>
        <v>0</v>
      </c>
      <c r="DJ59">
        <f t="shared" si="22"/>
        <v>0</v>
      </c>
      <c r="DK59">
        <f t="shared" si="22"/>
        <v>0</v>
      </c>
      <c r="DL59">
        <f t="shared" si="22"/>
        <v>0</v>
      </c>
      <c r="DM59">
        <f t="shared" si="22"/>
        <v>1</v>
      </c>
      <c r="DN59">
        <f t="shared" si="22"/>
        <v>1</v>
      </c>
      <c r="DO59">
        <f t="shared" si="22"/>
        <v>1</v>
      </c>
      <c r="DP59">
        <f t="shared" si="22"/>
        <v>1</v>
      </c>
      <c r="DQ59">
        <f t="shared" si="22"/>
        <v>0</v>
      </c>
      <c r="DR59">
        <f t="shared" si="22"/>
        <v>0</v>
      </c>
      <c r="DS59">
        <f t="shared" si="22"/>
        <v>0</v>
      </c>
      <c r="DT59">
        <f t="shared" si="22"/>
        <v>0</v>
      </c>
      <c r="DU59">
        <f t="shared" si="23"/>
        <v>0</v>
      </c>
      <c r="DV59">
        <f t="shared" si="23"/>
        <v>0</v>
      </c>
      <c r="DW59">
        <f t="shared" si="23"/>
        <v>0</v>
      </c>
      <c r="DX59">
        <f t="shared" si="23"/>
        <v>0</v>
      </c>
      <c r="DY59">
        <f t="shared" si="23"/>
        <v>326.45600180645044</v>
      </c>
      <c r="DZ59">
        <f t="shared" si="23"/>
        <v>818.39059451435321</v>
      </c>
      <c r="EA59">
        <f t="shared" si="23"/>
        <v>616.62891495299903</v>
      </c>
      <c r="EB59">
        <f t="shared" si="23"/>
        <v>24.026077140706469</v>
      </c>
      <c r="EC59">
        <f t="shared" si="23"/>
        <v>0</v>
      </c>
      <c r="ED59">
        <f t="shared" si="23"/>
        <v>0</v>
      </c>
      <c r="EE59">
        <f t="shared" si="23"/>
        <v>0</v>
      </c>
      <c r="EF59">
        <f t="shared" si="23"/>
        <v>0</v>
      </c>
      <c r="EG59">
        <f t="shared" si="24"/>
        <v>0</v>
      </c>
      <c r="EH59">
        <f t="shared" si="24"/>
        <v>0</v>
      </c>
      <c r="EI59">
        <f t="shared" si="24"/>
        <v>0</v>
      </c>
      <c r="EJ59">
        <f t="shared" si="24"/>
        <v>0</v>
      </c>
      <c r="EK59">
        <f t="shared" si="24"/>
        <v>325.87882565615308</v>
      </c>
      <c r="EL59">
        <f t="shared" si="24"/>
        <v>817.44524929048168</v>
      </c>
      <c r="EM59">
        <f t="shared" si="24"/>
        <v>615.81520024060046</v>
      </c>
      <c r="EN59">
        <f t="shared" si="24"/>
        <v>23.881743916446439</v>
      </c>
      <c r="EO59">
        <f t="shared" si="24"/>
        <v>0</v>
      </c>
      <c r="EP59">
        <f t="shared" si="24"/>
        <v>0</v>
      </c>
      <c r="EQ59">
        <f t="shared" si="24"/>
        <v>0</v>
      </c>
      <c r="ER59">
        <f t="shared" si="24"/>
        <v>0</v>
      </c>
    </row>
    <row r="60" spans="2:148" x14ac:dyDescent="0.2">
      <c r="B60" s="179">
        <v>0.83333333333333304</v>
      </c>
      <c r="C60">
        <f t="shared" si="26"/>
        <v>-120</v>
      </c>
      <c r="D60">
        <f t="shared" si="25"/>
        <v>-2.0943951023931953</v>
      </c>
      <c r="E60">
        <f t="shared" si="27"/>
        <v>0</v>
      </c>
      <c r="F60">
        <f t="shared" si="27"/>
        <v>0</v>
      </c>
      <c r="G60">
        <f t="shared" si="27"/>
        <v>0</v>
      </c>
      <c r="H60">
        <f t="shared" si="27"/>
        <v>0</v>
      </c>
      <c r="I60">
        <f t="shared" si="27"/>
        <v>0</v>
      </c>
      <c r="J60">
        <f t="shared" si="27"/>
        <v>0.91642820291055216</v>
      </c>
      <c r="K60">
        <f t="shared" si="27"/>
        <v>0</v>
      </c>
      <c r="L60">
        <f t="shared" si="27"/>
        <v>0</v>
      </c>
      <c r="M60">
        <f t="shared" si="27"/>
        <v>0</v>
      </c>
      <c r="N60">
        <f t="shared" si="27"/>
        <v>0</v>
      </c>
      <c r="O60">
        <f t="shared" si="27"/>
        <v>0</v>
      </c>
      <c r="P60">
        <f t="shared" si="27"/>
        <v>0</v>
      </c>
      <c r="Q60">
        <f t="shared" si="14"/>
        <v>3.1156564804798061</v>
      </c>
      <c r="R60">
        <f t="shared" si="14"/>
        <v>3.2239999999999998</v>
      </c>
      <c r="S60">
        <f t="shared" si="14"/>
        <v>3.3719999999999999</v>
      </c>
      <c r="T60">
        <f t="shared" si="14"/>
        <v>3.52</v>
      </c>
      <c r="U60">
        <f t="shared" si="14"/>
        <v>3.6283435195201936</v>
      </c>
      <c r="V60">
        <f t="shared" si="14"/>
        <v>3.6688477185434425</v>
      </c>
      <c r="W60">
        <f t="shared" si="14"/>
        <v>3.6283435195201936</v>
      </c>
      <c r="X60">
        <f t="shared" si="14"/>
        <v>3.52</v>
      </c>
      <c r="Y60">
        <f t="shared" si="14"/>
        <v>3.3719999999999999</v>
      </c>
      <c r="Z60">
        <f t="shared" si="14"/>
        <v>3.2239999999999998</v>
      </c>
      <c r="AA60">
        <f t="shared" si="14"/>
        <v>3.1156564804798061</v>
      </c>
      <c r="AB60">
        <f t="shared" si="14"/>
        <v>3.0760000000000001</v>
      </c>
      <c r="AC60">
        <f t="shared" si="15"/>
        <v>3.7499999999999881E-2</v>
      </c>
      <c r="AD60">
        <f t="shared" si="15"/>
        <v>3.7499999999999881E-2</v>
      </c>
      <c r="AE60">
        <f t="shared" si="15"/>
        <v>3.7499999999999881E-2</v>
      </c>
      <c r="AF60">
        <f t="shared" si="15"/>
        <v>3.7499999999999881E-2</v>
      </c>
      <c r="AG60">
        <f t="shared" si="15"/>
        <v>3.7499999999999881E-2</v>
      </c>
      <c r="AH60">
        <f t="shared" si="15"/>
        <v>4.1118472597313958E-2</v>
      </c>
      <c r="AI60">
        <f t="shared" si="15"/>
        <v>3.7499999999999881E-2</v>
      </c>
      <c r="AJ60">
        <f t="shared" si="15"/>
        <v>3.7499999999999881E-2</v>
      </c>
      <c r="AK60">
        <f t="shared" si="15"/>
        <v>3.7499999999999881E-2</v>
      </c>
      <c r="AL60">
        <f t="shared" si="15"/>
        <v>3.7499999999999881E-2</v>
      </c>
      <c r="AM60">
        <f t="shared" si="15"/>
        <v>3.7499999999999881E-2</v>
      </c>
      <c r="AN60">
        <f t="shared" si="15"/>
        <v>3.7499999999999881E-2</v>
      </c>
      <c r="AO60">
        <f t="shared" si="16"/>
        <v>36.218241904286437</v>
      </c>
      <c r="AP60">
        <f t="shared" si="16"/>
        <v>36.218241904286437</v>
      </c>
      <c r="AQ60">
        <f t="shared" si="16"/>
        <v>36.218241904286437</v>
      </c>
      <c r="AR60">
        <f t="shared" si="16"/>
        <v>36.218241904286437</v>
      </c>
      <c r="AS60">
        <f t="shared" si="16"/>
        <v>36.218241904286437</v>
      </c>
      <c r="AT60">
        <f t="shared" si="16"/>
        <v>22.940192776728061</v>
      </c>
      <c r="AU60">
        <f t="shared" si="16"/>
        <v>36.218241904286437</v>
      </c>
      <c r="AV60">
        <f t="shared" si="16"/>
        <v>36.218241904286437</v>
      </c>
      <c r="AW60">
        <f t="shared" si="16"/>
        <v>36.218241904286437</v>
      </c>
      <c r="AX60">
        <f t="shared" si="16"/>
        <v>36.218241904286437</v>
      </c>
      <c r="AY60">
        <f t="shared" si="16"/>
        <v>36.218241904286437</v>
      </c>
      <c r="AZ60">
        <f t="shared" si="16"/>
        <v>36.218241904286437</v>
      </c>
      <c r="BA60">
        <f t="shared" si="17"/>
        <v>-0.57489826264174493</v>
      </c>
      <c r="BB60">
        <f t="shared" si="17"/>
        <v>-0.48362464258526416</v>
      </c>
      <c r="BC60">
        <f t="shared" si="17"/>
        <v>-0.35400272686030249</v>
      </c>
      <c r="BD60">
        <f t="shared" si="17"/>
        <v>-0.189414303665842</v>
      </c>
      <c r="BE60">
        <f t="shared" si="17"/>
        <v>-5.3258408689822873E-2</v>
      </c>
      <c r="BF60">
        <f t="shared" si="17"/>
        <v>1.6240892256840167E-2</v>
      </c>
      <c r="BG60">
        <f t="shared" si="17"/>
        <v>-1.057842935416986E-2</v>
      </c>
      <c r="BH60">
        <f t="shared" si="17"/>
        <v>-0.12477718385329889</v>
      </c>
      <c r="BI60">
        <f t="shared" si="17"/>
        <v>-0.28527842356789501</v>
      </c>
      <c r="BJ60">
        <f t="shared" si="17"/>
        <v>-0.43689754412141013</v>
      </c>
      <c r="BK60">
        <f t="shared" si="17"/>
        <v>-0.55001971709760711</v>
      </c>
      <c r="BL60">
        <f t="shared" si="17"/>
        <v>-0.59695722545770469</v>
      </c>
      <c r="BM60" s="180">
        <f t="shared" si="18"/>
        <v>6.1257422745431001E-17</v>
      </c>
      <c r="BN60" s="180">
        <f t="shared" si="18"/>
        <v>6.1257422745431001E-17</v>
      </c>
      <c r="BO60" s="180">
        <f t="shared" si="18"/>
        <v>6.1257422745431001E-17</v>
      </c>
      <c r="BP60" s="180">
        <f t="shared" si="18"/>
        <v>6.1257422745431001E-17</v>
      </c>
      <c r="BQ60" s="180">
        <f t="shared" si="18"/>
        <v>6.1257422745431001E-17</v>
      </c>
      <c r="BR60" s="180">
        <f t="shared" si="18"/>
        <v>1.5994007520499332E-2</v>
      </c>
      <c r="BS60" s="180">
        <f t="shared" si="18"/>
        <v>6.1257422745431001E-17</v>
      </c>
      <c r="BT60" s="180">
        <f t="shared" si="18"/>
        <v>6.1257422745431001E-17</v>
      </c>
      <c r="BU60" s="180">
        <f t="shared" si="18"/>
        <v>6.1257422745431001E-17</v>
      </c>
      <c r="BV60" s="180">
        <f t="shared" si="18"/>
        <v>6.1257422745431001E-17</v>
      </c>
      <c r="BW60" s="180">
        <f t="shared" si="18"/>
        <v>6.1257422745431001E-17</v>
      </c>
      <c r="BX60" s="180">
        <f t="shared" si="18"/>
        <v>6.1257422745431001E-17</v>
      </c>
      <c r="BY60" s="180">
        <f t="shared" si="19"/>
        <v>0</v>
      </c>
      <c r="BZ60" s="180">
        <f t="shared" si="19"/>
        <v>0</v>
      </c>
      <c r="CA60" s="180">
        <f t="shared" si="19"/>
        <v>0</v>
      </c>
      <c r="CB60" s="180">
        <f t="shared" si="19"/>
        <v>0</v>
      </c>
      <c r="CC60" s="180">
        <f t="shared" si="19"/>
        <v>0</v>
      </c>
      <c r="CD60" s="180">
        <f t="shared" si="19"/>
        <v>1.5994007520499332E-2</v>
      </c>
      <c r="CE60" s="180">
        <f t="shared" si="19"/>
        <v>0</v>
      </c>
      <c r="CF60" s="180">
        <f t="shared" si="19"/>
        <v>0</v>
      </c>
      <c r="CG60" s="180">
        <f t="shared" si="19"/>
        <v>0</v>
      </c>
      <c r="CH60" s="180">
        <f t="shared" si="19"/>
        <v>0</v>
      </c>
      <c r="CI60" s="180">
        <f t="shared" si="19"/>
        <v>0</v>
      </c>
      <c r="CJ60" s="180">
        <f t="shared" si="19"/>
        <v>0</v>
      </c>
      <c r="CK60">
        <f t="shared" si="20"/>
        <v>20.284401274960064</v>
      </c>
      <c r="CL60">
        <f t="shared" si="20"/>
        <v>17.360767793289341</v>
      </c>
      <c r="CM60">
        <f t="shared" si="20"/>
        <v>14.011696302994885</v>
      </c>
      <c r="CN60">
        <f t="shared" si="20"/>
        <v>11.262778892975057</v>
      </c>
      <c r="CO60">
        <f t="shared" si="20"/>
        <v>9.5763194555329676</v>
      </c>
      <c r="CP60">
        <f t="shared" si="20"/>
        <v>41.148648635217953</v>
      </c>
      <c r="CQ60">
        <f t="shared" si="20"/>
        <v>9.4828169458475475</v>
      </c>
      <c r="CR60">
        <f t="shared" si="20"/>
        <v>11.080671937144006</v>
      </c>
      <c r="CS60">
        <f t="shared" si="20"/>
        <v>13.75504659234451</v>
      </c>
      <c r="CT60">
        <f t="shared" si="20"/>
        <v>17.103383011798549</v>
      </c>
      <c r="CU60">
        <f t="shared" si="20"/>
        <v>20.112939786998474</v>
      </c>
      <c r="CV60">
        <f t="shared" si="20"/>
        <v>21.403786013982739</v>
      </c>
      <c r="CW60">
        <f t="shared" si="21"/>
        <v>0</v>
      </c>
      <c r="CX60">
        <f t="shared" si="21"/>
        <v>0</v>
      </c>
      <c r="CY60">
        <f t="shared" si="21"/>
        <v>0</v>
      </c>
      <c r="CZ60">
        <f t="shared" si="21"/>
        <v>0</v>
      </c>
      <c r="DA60">
        <f t="shared" si="21"/>
        <v>0</v>
      </c>
      <c r="DB60">
        <f t="shared" si="21"/>
        <v>1</v>
      </c>
      <c r="DC60">
        <f t="shared" si="21"/>
        <v>0</v>
      </c>
      <c r="DD60">
        <f t="shared" si="21"/>
        <v>0</v>
      </c>
      <c r="DE60">
        <f t="shared" si="21"/>
        <v>0</v>
      </c>
      <c r="DF60">
        <f t="shared" si="21"/>
        <v>0</v>
      </c>
      <c r="DG60">
        <f t="shared" si="21"/>
        <v>0</v>
      </c>
      <c r="DH60">
        <f t="shared" si="21"/>
        <v>0</v>
      </c>
      <c r="DI60">
        <f t="shared" si="22"/>
        <v>0</v>
      </c>
      <c r="DJ60">
        <f t="shared" si="22"/>
        <v>0</v>
      </c>
      <c r="DK60">
        <f t="shared" si="22"/>
        <v>0</v>
      </c>
      <c r="DL60">
        <f t="shared" si="22"/>
        <v>0</v>
      </c>
      <c r="DM60">
        <f t="shared" si="22"/>
        <v>0</v>
      </c>
      <c r="DN60">
        <f t="shared" si="22"/>
        <v>1</v>
      </c>
      <c r="DO60">
        <f t="shared" si="22"/>
        <v>0</v>
      </c>
      <c r="DP60">
        <f t="shared" si="22"/>
        <v>0</v>
      </c>
      <c r="DQ60">
        <f t="shared" si="22"/>
        <v>0</v>
      </c>
      <c r="DR60">
        <f t="shared" si="22"/>
        <v>0</v>
      </c>
      <c r="DS60">
        <f t="shared" si="22"/>
        <v>0</v>
      </c>
      <c r="DT60">
        <f t="shared" si="22"/>
        <v>0</v>
      </c>
      <c r="DU60">
        <f t="shared" si="23"/>
        <v>0</v>
      </c>
      <c r="DV60">
        <f t="shared" si="23"/>
        <v>0</v>
      </c>
      <c r="DW60">
        <f t="shared" si="23"/>
        <v>0</v>
      </c>
      <c r="DX60">
        <f t="shared" si="23"/>
        <v>0</v>
      </c>
      <c r="DY60">
        <f t="shared" si="23"/>
        <v>0</v>
      </c>
      <c r="DZ60">
        <f t="shared" si="23"/>
        <v>10.02436153498722</v>
      </c>
      <c r="EA60">
        <f t="shared" si="23"/>
        <v>0</v>
      </c>
      <c r="EB60">
        <f t="shared" si="23"/>
        <v>0</v>
      </c>
      <c r="EC60">
        <f t="shared" si="23"/>
        <v>0</v>
      </c>
      <c r="ED60">
        <f t="shared" si="23"/>
        <v>0</v>
      </c>
      <c r="EE60">
        <f t="shared" si="23"/>
        <v>0</v>
      </c>
      <c r="EF60">
        <f t="shared" si="23"/>
        <v>0</v>
      </c>
      <c r="EG60">
        <f t="shared" si="24"/>
        <v>0</v>
      </c>
      <c r="EH60">
        <f t="shared" si="24"/>
        <v>0</v>
      </c>
      <c r="EI60">
        <f t="shared" si="24"/>
        <v>0</v>
      </c>
      <c r="EJ60">
        <f t="shared" si="24"/>
        <v>0</v>
      </c>
      <c r="EK60">
        <f t="shared" si="24"/>
        <v>0</v>
      </c>
      <c r="EL60">
        <f t="shared" si="24"/>
        <v>9.871976935950908</v>
      </c>
      <c r="EM60">
        <f t="shared" si="24"/>
        <v>0</v>
      </c>
      <c r="EN60">
        <f t="shared" si="24"/>
        <v>0</v>
      </c>
      <c r="EO60">
        <f t="shared" si="24"/>
        <v>0</v>
      </c>
      <c r="EP60">
        <f t="shared" si="24"/>
        <v>0</v>
      </c>
      <c r="EQ60">
        <f t="shared" si="24"/>
        <v>0</v>
      </c>
      <c r="ER60">
        <f t="shared" si="24"/>
        <v>0</v>
      </c>
    </row>
    <row r="61" spans="2:148" x14ac:dyDescent="0.2">
      <c r="B61" s="179">
        <v>0.875</v>
      </c>
      <c r="C61">
        <f t="shared" si="26"/>
        <v>-135</v>
      </c>
      <c r="D61">
        <f t="shared" si="25"/>
        <v>-2.3561944901923448</v>
      </c>
      <c r="E61">
        <f t="shared" si="27"/>
        <v>0</v>
      </c>
      <c r="F61">
        <f t="shared" si="27"/>
        <v>0</v>
      </c>
      <c r="G61">
        <f t="shared" si="27"/>
        <v>0</v>
      </c>
      <c r="H61">
        <f t="shared" si="27"/>
        <v>0</v>
      </c>
      <c r="I61">
        <f t="shared" si="27"/>
        <v>0</v>
      </c>
      <c r="J61">
        <f t="shared" si="27"/>
        <v>0</v>
      </c>
      <c r="K61">
        <f t="shared" si="27"/>
        <v>0</v>
      </c>
      <c r="L61">
        <f t="shared" si="27"/>
        <v>0</v>
      </c>
      <c r="M61">
        <f t="shared" si="27"/>
        <v>0</v>
      </c>
      <c r="N61">
        <f t="shared" si="27"/>
        <v>0</v>
      </c>
      <c r="O61">
        <f t="shared" si="27"/>
        <v>0</v>
      </c>
      <c r="P61">
        <f t="shared" si="27"/>
        <v>0</v>
      </c>
      <c r="Q61">
        <f t="shared" si="14"/>
        <v>3.1156564804798061</v>
      </c>
      <c r="R61">
        <f t="shared" si="14"/>
        <v>3.2239999999999998</v>
      </c>
      <c r="S61">
        <f t="shared" si="14"/>
        <v>3.3719999999999999</v>
      </c>
      <c r="T61">
        <f t="shared" ref="R61:AB63" si="28">3.372+0.053*(PI()*H61/180)-0.296*COS(RADIANS(30*H$22))</f>
        <v>3.52</v>
      </c>
      <c r="U61">
        <f t="shared" si="28"/>
        <v>3.6283435195201936</v>
      </c>
      <c r="V61">
        <f t="shared" si="28"/>
        <v>3.6679999999999997</v>
      </c>
      <c r="W61">
        <f t="shared" si="28"/>
        <v>3.6283435195201936</v>
      </c>
      <c r="X61">
        <f t="shared" si="28"/>
        <v>3.52</v>
      </c>
      <c r="Y61">
        <f t="shared" si="28"/>
        <v>3.3719999999999999</v>
      </c>
      <c r="Z61">
        <f t="shared" si="28"/>
        <v>3.2239999999999998</v>
      </c>
      <c r="AA61">
        <f t="shared" si="28"/>
        <v>3.1156564804798061</v>
      </c>
      <c r="AB61">
        <f t="shared" si="28"/>
        <v>3.0760000000000001</v>
      </c>
      <c r="AC61">
        <f t="shared" si="15"/>
        <v>3.7499999999999881E-2</v>
      </c>
      <c r="AD61">
        <f t="shared" si="15"/>
        <v>3.7499999999999881E-2</v>
      </c>
      <c r="AE61">
        <f t="shared" si="15"/>
        <v>3.7499999999999881E-2</v>
      </c>
      <c r="AF61">
        <f t="shared" ref="AD61:AN63" si="29">1.4899-2.1099*COS(RADIANS(H61))+0.6322*COS(RADIANS(2*H61))+0.0253*COS(RADIANS(3*H61))-1.0022*SIN(RADIANS(H61))+1.0077*SIN(RADIANS(2*H61))-0.2606*SIN(RADIANS(3*H61))</f>
        <v>3.7499999999999881E-2</v>
      </c>
      <c r="AG61">
        <f t="shared" si="29"/>
        <v>3.7499999999999881E-2</v>
      </c>
      <c r="AH61">
        <f t="shared" si="29"/>
        <v>3.7499999999999881E-2</v>
      </c>
      <c r="AI61">
        <f t="shared" si="29"/>
        <v>3.7499999999999881E-2</v>
      </c>
      <c r="AJ61">
        <f t="shared" si="29"/>
        <v>3.7499999999999881E-2</v>
      </c>
      <c r="AK61">
        <f t="shared" si="29"/>
        <v>3.7499999999999881E-2</v>
      </c>
      <c r="AL61">
        <f t="shared" si="29"/>
        <v>3.7499999999999881E-2</v>
      </c>
      <c r="AM61">
        <f t="shared" si="29"/>
        <v>3.7499999999999881E-2</v>
      </c>
      <c r="AN61">
        <f t="shared" si="29"/>
        <v>3.7499999999999881E-2</v>
      </c>
      <c r="AO61">
        <f t="shared" si="16"/>
        <v>36.218241904286437</v>
      </c>
      <c r="AP61">
        <f t="shared" si="16"/>
        <v>36.218241904286437</v>
      </c>
      <c r="AQ61">
        <f t="shared" si="16"/>
        <v>36.218241904286437</v>
      </c>
      <c r="AR61">
        <f t="shared" ref="AP61:AZ63" si="30">0.992/(SIN(RADIANS(H61))+0.15*(PI()*H61/180+3.885)^(-1.253))</f>
        <v>36.218241904286437</v>
      </c>
      <c r="AS61">
        <f t="shared" si="30"/>
        <v>36.218241904286437</v>
      </c>
      <c r="AT61">
        <f t="shared" si="30"/>
        <v>36.218241904286437</v>
      </c>
      <c r="AU61">
        <f t="shared" si="30"/>
        <v>36.218241904286437</v>
      </c>
      <c r="AV61">
        <f t="shared" si="30"/>
        <v>36.218241904286437</v>
      </c>
      <c r="AW61">
        <f t="shared" si="30"/>
        <v>36.218241904286437</v>
      </c>
      <c r="AX61">
        <f t="shared" si="30"/>
        <v>36.218241904286437</v>
      </c>
      <c r="AY61">
        <f t="shared" si="30"/>
        <v>36.218241904286437</v>
      </c>
      <c r="AZ61">
        <f t="shared" si="30"/>
        <v>36.218241904286437</v>
      </c>
      <c r="BA61">
        <f t="shared" si="17"/>
        <v>-0.69692957242130027</v>
      </c>
      <c r="BB61">
        <f t="shared" si="17"/>
        <v>-0.61110139690673437</v>
      </c>
      <c r="BC61">
        <f t="shared" si="17"/>
        <v>-0.48473351987903324</v>
      </c>
      <c r="BD61">
        <f t="shared" ref="BD61:BL63" si="31">0.775*(SIN(H$36)*COS($G$11)+COS(H$36)*SIN($G$11)*COS($G$12)*COS($D61))-0.632*(SIN(H$36)*SIN($G$11)*COS($G$12)-COS(H$36)*COS($G$11)*COS($D61))+COS(H$36)*SIN($G$11)*SIN($G$12)*SIN($D61)</f>
        <v>-0.31865745063595635</v>
      </c>
      <c r="BE61">
        <f t="shared" si="31"/>
        <v>-0.17736097812734117</v>
      </c>
      <c r="BF61">
        <f t="shared" si="31"/>
        <v>-0.10398073321114004</v>
      </c>
      <c r="BG61">
        <f t="shared" si="31"/>
        <v>-0.13239681106071066</v>
      </c>
      <c r="BH61">
        <f t="shared" si="31"/>
        <v>-0.25199386540732366</v>
      </c>
      <c r="BI61">
        <f t="shared" si="31"/>
        <v>-0.41606865943549493</v>
      </c>
      <c r="BJ61">
        <f t="shared" si="31"/>
        <v>-0.56607423476973218</v>
      </c>
      <c r="BK61">
        <f t="shared" si="31"/>
        <v>-0.67385284105526577</v>
      </c>
      <c r="BL61">
        <f t="shared" si="31"/>
        <v>-0.71715811164142962</v>
      </c>
      <c r="BM61" s="180">
        <f t="shared" si="18"/>
        <v>6.1257422745431001E-17</v>
      </c>
      <c r="BN61" s="180">
        <f t="shared" si="18"/>
        <v>6.1257422745431001E-17</v>
      </c>
      <c r="BO61" s="180">
        <f t="shared" si="18"/>
        <v>6.1257422745431001E-17</v>
      </c>
      <c r="BP61" s="180">
        <f t="shared" si="18"/>
        <v>6.1257422745431001E-17</v>
      </c>
      <c r="BQ61" s="180">
        <f t="shared" si="18"/>
        <v>6.1257422745431001E-17</v>
      </c>
      <c r="BR61" s="180">
        <f t="shared" ref="BR61:BX63" si="32">COS(RADIANS(90-J61))</f>
        <v>6.1257422745431001E-17</v>
      </c>
      <c r="BS61" s="180">
        <f t="shared" si="32"/>
        <v>6.1257422745431001E-17</v>
      </c>
      <c r="BT61" s="180">
        <f t="shared" si="32"/>
        <v>6.1257422745431001E-17</v>
      </c>
      <c r="BU61" s="180">
        <f t="shared" si="32"/>
        <v>6.1257422745431001E-17</v>
      </c>
      <c r="BV61" s="180">
        <f t="shared" si="32"/>
        <v>6.1257422745431001E-17</v>
      </c>
      <c r="BW61" s="180">
        <f t="shared" si="32"/>
        <v>6.1257422745431001E-17</v>
      </c>
      <c r="BX61" s="180">
        <f t="shared" si="32"/>
        <v>6.1257422745431001E-17</v>
      </c>
      <c r="BY61" s="180">
        <f t="shared" si="19"/>
        <v>0</v>
      </c>
      <c r="BZ61" s="180">
        <f t="shared" si="19"/>
        <v>0</v>
      </c>
      <c r="CA61" s="180">
        <f t="shared" si="19"/>
        <v>0</v>
      </c>
      <c r="CB61" s="180">
        <f t="shared" ref="BZ61:CJ63" si="33">IF(BP61=$BM$40,0,BP61)</f>
        <v>0</v>
      </c>
      <c r="CC61" s="180">
        <f t="shared" si="33"/>
        <v>0</v>
      </c>
      <c r="CD61" s="180">
        <f t="shared" si="33"/>
        <v>0</v>
      </c>
      <c r="CE61" s="180">
        <f t="shared" si="33"/>
        <v>0</v>
      </c>
      <c r="CF61" s="180">
        <f t="shared" si="33"/>
        <v>0</v>
      </c>
      <c r="CG61" s="180">
        <f t="shared" si="33"/>
        <v>0</v>
      </c>
      <c r="CH61" s="180">
        <f t="shared" si="33"/>
        <v>0</v>
      </c>
      <c r="CI61" s="180">
        <f t="shared" si="33"/>
        <v>0</v>
      </c>
      <c r="CJ61" s="180">
        <f t="shared" si="33"/>
        <v>0</v>
      </c>
      <c r="CK61">
        <f t="shared" si="20"/>
        <v>20.284401274960064</v>
      </c>
      <c r="CL61">
        <f t="shared" si="20"/>
        <v>17.360767793289341</v>
      </c>
      <c r="CM61">
        <f t="shared" si="20"/>
        <v>14.011696302994885</v>
      </c>
      <c r="CN61">
        <f t="shared" ref="CL61:CV63" si="34">MAX(0,1353*(1+0.033*COS(RADIANS(360*H$35/365)))*EXP(-AR61*AF61*T61))</f>
        <v>11.262778892975057</v>
      </c>
      <c r="CO61">
        <f t="shared" si="34"/>
        <v>9.5763194555329676</v>
      </c>
      <c r="CP61">
        <f t="shared" si="34"/>
        <v>8.9896155224652983</v>
      </c>
      <c r="CQ61">
        <f t="shared" si="34"/>
        <v>9.4828169458475475</v>
      </c>
      <c r="CR61">
        <f t="shared" si="34"/>
        <v>11.080671937144006</v>
      </c>
      <c r="CS61">
        <f t="shared" si="34"/>
        <v>13.75504659234451</v>
      </c>
      <c r="CT61">
        <f t="shared" si="34"/>
        <v>17.103383011798549</v>
      </c>
      <c r="CU61">
        <f t="shared" si="34"/>
        <v>20.112939786998474</v>
      </c>
      <c r="CV61">
        <f t="shared" si="34"/>
        <v>21.403786013982739</v>
      </c>
      <c r="CW61">
        <f t="shared" si="21"/>
        <v>0</v>
      </c>
      <c r="CX61">
        <f t="shared" si="21"/>
        <v>0</v>
      </c>
      <c r="CY61">
        <f t="shared" si="21"/>
        <v>0</v>
      </c>
      <c r="CZ61">
        <f t="shared" ref="CX61:DH63" si="35">IF(AND(CB61&gt;0,BD61&gt;0),1,0)</f>
        <v>0</v>
      </c>
      <c r="DA61">
        <f t="shared" si="35"/>
        <v>0</v>
      </c>
      <c r="DB61">
        <f t="shared" si="35"/>
        <v>0</v>
      </c>
      <c r="DC61">
        <f t="shared" si="35"/>
        <v>0</v>
      </c>
      <c r="DD61">
        <f t="shared" si="35"/>
        <v>0</v>
      </c>
      <c r="DE61">
        <f t="shared" si="35"/>
        <v>0</v>
      </c>
      <c r="DF61">
        <f t="shared" si="35"/>
        <v>0</v>
      </c>
      <c r="DG61">
        <f t="shared" si="35"/>
        <v>0</v>
      </c>
      <c r="DH61">
        <f t="shared" si="35"/>
        <v>0</v>
      </c>
      <c r="DI61">
        <f t="shared" si="22"/>
        <v>0</v>
      </c>
      <c r="DJ61">
        <f t="shared" si="22"/>
        <v>0</v>
      </c>
      <c r="DK61">
        <f t="shared" si="22"/>
        <v>0</v>
      </c>
      <c r="DL61">
        <f t="shared" ref="DJ61:DT63" si="36">IF(CB61&gt;0,1,0)</f>
        <v>0</v>
      </c>
      <c r="DM61">
        <f t="shared" si="36"/>
        <v>0</v>
      </c>
      <c r="DN61">
        <f t="shared" si="36"/>
        <v>0</v>
      </c>
      <c r="DO61">
        <f t="shared" si="36"/>
        <v>0</v>
      </c>
      <c r="DP61">
        <f t="shared" si="36"/>
        <v>0</v>
      </c>
      <c r="DQ61">
        <f t="shared" si="36"/>
        <v>0</v>
      </c>
      <c r="DR61">
        <f t="shared" si="36"/>
        <v>0</v>
      </c>
      <c r="DS61">
        <f t="shared" si="36"/>
        <v>0</v>
      </c>
      <c r="DT61">
        <f t="shared" si="36"/>
        <v>0</v>
      </c>
      <c r="DU61">
        <f t="shared" si="23"/>
        <v>0</v>
      </c>
      <c r="DV61">
        <f t="shared" si="23"/>
        <v>0</v>
      </c>
      <c r="DW61">
        <f t="shared" si="23"/>
        <v>0</v>
      </c>
      <c r="DX61">
        <f t="shared" ref="DV61:EF63" si="37">CZ61*MAX(0,(CN61*BD61*15))</f>
        <v>0</v>
      </c>
      <c r="DY61">
        <f t="shared" si="37"/>
        <v>0</v>
      </c>
      <c r="DZ61">
        <f t="shared" si="37"/>
        <v>0</v>
      </c>
      <c r="EA61">
        <f t="shared" si="37"/>
        <v>0</v>
      </c>
      <c r="EB61">
        <f t="shared" si="37"/>
        <v>0</v>
      </c>
      <c r="EC61">
        <f t="shared" si="37"/>
        <v>0</v>
      </c>
      <c r="ED61">
        <f t="shared" si="37"/>
        <v>0</v>
      </c>
      <c r="EE61">
        <f t="shared" si="37"/>
        <v>0</v>
      </c>
      <c r="EF61">
        <f t="shared" si="37"/>
        <v>0</v>
      </c>
      <c r="EG61">
        <f t="shared" si="24"/>
        <v>0</v>
      </c>
      <c r="EH61">
        <f t="shared" si="24"/>
        <v>0</v>
      </c>
      <c r="EI61">
        <f t="shared" si="24"/>
        <v>0</v>
      </c>
      <c r="EJ61">
        <f t="shared" ref="EH61:ER63" si="38">DL61*MAX(0,(CN61*CB61*15))</f>
        <v>0</v>
      </c>
      <c r="EK61">
        <f t="shared" si="38"/>
        <v>0</v>
      </c>
      <c r="EL61">
        <f t="shared" si="38"/>
        <v>0</v>
      </c>
      <c r="EM61">
        <f t="shared" si="38"/>
        <v>0</v>
      </c>
      <c r="EN61">
        <f t="shared" si="38"/>
        <v>0</v>
      </c>
      <c r="EO61">
        <f t="shared" si="38"/>
        <v>0</v>
      </c>
      <c r="EP61">
        <f t="shared" si="38"/>
        <v>0</v>
      </c>
      <c r="EQ61">
        <f t="shared" si="38"/>
        <v>0</v>
      </c>
      <c r="ER61">
        <f t="shared" si="38"/>
        <v>0</v>
      </c>
    </row>
    <row r="62" spans="2:148" x14ac:dyDescent="0.2">
      <c r="B62" s="179">
        <v>0.91666666666666696</v>
      </c>
      <c r="C62">
        <f t="shared" si="26"/>
        <v>-150</v>
      </c>
      <c r="D62">
        <f t="shared" si="25"/>
        <v>-2.6179938779914944</v>
      </c>
      <c r="E62">
        <f t="shared" si="27"/>
        <v>0</v>
      </c>
      <c r="F62">
        <f t="shared" si="27"/>
        <v>0</v>
      </c>
      <c r="G62">
        <f t="shared" si="27"/>
        <v>0</v>
      </c>
      <c r="H62">
        <f t="shared" si="27"/>
        <v>0</v>
      </c>
      <c r="I62">
        <f t="shared" si="27"/>
        <v>0</v>
      </c>
      <c r="J62">
        <f t="shared" si="27"/>
        <v>0</v>
      </c>
      <c r="K62">
        <f t="shared" si="27"/>
        <v>0</v>
      </c>
      <c r="L62">
        <f t="shared" si="27"/>
        <v>0</v>
      </c>
      <c r="M62">
        <f t="shared" si="27"/>
        <v>0</v>
      </c>
      <c r="N62">
        <f t="shared" si="27"/>
        <v>0</v>
      </c>
      <c r="O62">
        <f t="shared" si="27"/>
        <v>0</v>
      </c>
      <c r="P62">
        <f t="shared" si="27"/>
        <v>0</v>
      </c>
      <c r="Q62">
        <f>3.372+0.053*(PI()*E62/180)-0.296*COS(RADIANS(30*E$22))</f>
        <v>3.1156564804798061</v>
      </c>
      <c r="R62">
        <f t="shared" si="28"/>
        <v>3.2239999999999998</v>
      </c>
      <c r="S62">
        <f t="shared" si="28"/>
        <v>3.3719999999999999</v>
      </c>
      <c r="T62">
        <f t="shared" si="28"/>
        <v>3.52</v>
      </c>
      <c r="U62">
        <f t="shared" si="28"/>
        <v>3.6283435195201936</v>
      </c>
      <c r="V62">
        <f t="shared" si="28"/>
        <v>3.6679999999999997</v>
      </c>
      <c r="W62">
        <f t="shared" si="28"/>
        <v>3.6283435195201936</v>
      </c>
      <c r="X62">
        <f t="shared" si="28"/>
        <v>3.52</v>
      </c>
      <c r="Y62">
        <f t="shared" si="28"/>
        <v>3.3719999999999999</v>
      </c>
      <c r="Z62">
        <f t="shared" si="28"/>
        <v>3.2239999999999998</v>
      </c>
      <c r="AA62">
        <f t="shared" si="28"/>
        <v>3.1156564804798061</v>
      </c>
      <c r="AB62">
        <f t="shared" si="28"/>
        <v>3.0760000000000001</v>
      </c>
      <c r="AC62">
        <f>1.4899-2.1099*COS(RADIANS(E62))+0.6322*COS(RADIANS(2*E62))+0.0253*COS(RADIANS(3*E62))-1.0022*SIN(RADIANS(E62))+1.0077*SIN(RADIANS(2*E62))-0.2606*SIN(RADIANS(3*E62))</f>
        <v>3.7499999999999881E-2</v>
      </c>
      <c r="AD62">
        <f t="shared" si="29"/>
        <v>3.7499999999999881E-2</v>
      </c>
      <c r="AE62">
        <f t="shared" si="29"/>
        <v>3.7499999999999881E-2</v>
      </c>
      <c r="AF62">
        <f t="shared" si="29"/>
        <v>3.7499999999999881E-2</v>
      </c>
      <c r="AG62">
        <f t="shared" si="29"/>
        <v>3.7499999999999881E-2</v>
      </c>
      <c r="AH62">
        <f t="shared" si="29"/>
        <v>3.7499999999999881E-2</v>
      </c>
      <c r="AI62">
        <f t="shared" si="29"/>
        <v>3.7499999999999881E-2</v>
      </c>
      <c r="AJ62">
        <f t="shared" si="29"/>
        <v>3.7499999999999881E-2</v>
      </c>
      <c r="AK62">
        <f t="shared" si="29"/>
        <v>3.7499999999999881E-2</v>
      </c>
      <c r="AL62">
        <f t="shared" si="29"/>
        <v>3.7499999999999881E-2</v>
      </c>
      <c r="AM62">
        <f t="shared" si="29"/>
        <v>3.7499999999999881E-2</v>
      </c>
      <c r="AN62">
        <f t="shared" si="29"/>
        <v>3.7499999999999881E-2</v>
      </c>
      <c r="AO62">
        <f>0.992/(SIN(RADIANS(E62))+0.15*(PI()*E62/180+3.885)^(-1.253))</f>
        <v>36.218241904286437</v>
      </c>
      <c r="AP62">
        <f t="shared" si="30"/>
        <v>36.218241904286437</v>
      </c>
      <c r="AQ62">
        <f t="shared" si="30"/>
        <v>36.218241904286437</v>
      </c>
      <c r="AR62">
        <f t="shared" si="30"/>
        <v>36.218241904286437</v>
      </c>
      <c r="AS62">
        <f t="shared" si="30"/>
        <v>36.218241904286437</v>
      </c>
      <c r="AT62">
        <f t="shared" si="30"/>
        <v>36.218241904286437</v>
      </c>
      <c r="AU62">
        <f t="shared" si="30"/>
        <v>36.218241904286437</v>
      </c>
      <c r="AV62">
        <f t="shared" si="30"/>
        <v>36.218241904286437</v>
      </c>
      <c r="AW62">
        <f t="shared" si="30"/>
        <v>36.218241904286437</v>
      </c>
      <c r="AX62">
        <f t="shared" si="30"/>
        <v>36.218241904286437</v>
      </c>
      <c r="AY62">
        <f t="shared" si="30"/>
        <v>36.218241904286437</v>
      </c>
      <c r="AZ62">
        <f t="shared" si="30"/>
        <v>36.218241904286437</v>
      </c>
      <c r="BA62">
        <f t="shared" ref="BA62:BC63" si="39">0.775*(SIN(E$36)*COS($G$11)+COS(E$36)*SIN($G$11)*COS($G$12)*COS($D62))-0.632*(SIN(E$36)*SIN($G$11)*COS($G$12)-COS(E$36)*COS($G$11)*COS($D62))+COS(E$36)*SIN($G$11)*SIN($G$12)*SIN($D62)</f>
        <v>-0.79056748979357394</v>
      </c>
      <c r="BB62">
        <f t="shared" si="39"/>
        <v>-0.70891775083756203</v>
      </c>
      <c r="BC62">
        <f t="shared" si="39"/>
        <v>-0.5850467855221968</v>
      </c>
      <c r="BD62">
        <f t="shared" si="31"/>
        <v>-0.41782920531745638</v>
      </c>
      <c r="BE62">
        <f t="shared" si="31"/>
        <v>-0.27258822893428192</v>
      </c>
      <c r="BF62">
        <f t="shared" si="31"/>
        <v>-0.19623003097142</v>
      </c>
      <c r="BG62">
        <f t="shared" si="31"/>
        <v>-0.22587134297606193</v>
      </c>
      <c r="BH62">
        <f t="shared" si="31"/>
        <v>-0.34961065848485201</v>
      </c>
      <c r="BI62">
        <f t="shared" si="31"/>
        <v>-0.51642753718083811</v>
      </c>
      <c r="BJ62">
        <f t="shared" si="31"/>
        <v>-0.66519499572199903</v>
      </c>
      <c r="BK62">
        <f t="shared" si="31"/>
        <v>-0.76887333907372124</v>
      </c>
      <c r="BL62">
        <f t="shared" si="31"/>
        <v>-0.80939149558918921</v>
      </c>
      <c r="BM62" s="180">
        <f t="shared" ref="BM62:BQ63" si="40">COS(RADIANS(90-E62))</f>
        <v>6.1257422745431001E-17</v>
      </c>
      <c r="BN62" s="180">
        <f t="shared" si="40"/>
        <v>6.1257422745431001E-17</v>
      </c>
      <c r="BO62" s="180">
        <f t="shared" si="40"/>
        <v>6.1257422745431001E-17</v>
      </c>
      <c r="BP62" s="180">
        <f t="shared" si="40"/>
        <v>6.1257422745431001E-17</v>
      </c>
      <c r="BQ62" s="180">
        <f t="shared" si="40"/>
        <v>6.1257422745431001E-17</v>
      </c>
      <c r="BR62" s="180">
        <f t="shared" si="32"/>
        <v>6.1257422745431001E-17</v>
      </c>
      <c r="BS62" s="180">
        <f t="shared" si="32"/>
        <v>6.1257422745431001E-17</v>
      </c>
      <c r="BT62" s="180">
        <f t="shared" si="32"/>
        <v>6.1257422745431001E-17</v>
      </c>
      <c r="BU62" s="180">
        <f t="shared" si="32"/>
        <v>6.1257422745431001E-17</v>
      </c>
      <c r="BV62" s="180">
        <f t="shared" si="32"/>
        <v>6.1257422745431001E-17</v>
      </c>
      <c r="BW62" s="180">
        <f t="shared" si="32"/>
        <v>6.1257422745431001E-17</v>
      </c>
      <c r="BX62" s="180">
        <f t="shared" si="32"/>
        <v>6.1257422745431001E-17</v>
      </c>
      <c r="BY62" s="180">
        <f>IF(BM62=$BM$40,0,BM62)</f>
        <v>0</v>
      </c>
      <c r="BZ62" s="180">
        <f t="shared" si="33"/>
        <v>0</v>
      </c>
      <c r="CA62" s="180">
        <f t="shared" si="33"/>
        <v>0</v>
      </c>
      <c r="CB62" s="180">
        <f t="shared" si="33"/>
        <v>0</v>
      </c>
      <c r="CC62" s="180">
        <f t="shared" si="33"/>
        <v>0</v>
      </c>
      <c r="CD62" s="180">
        <f t="shared" si="33"/>
        <v>0</v>
      </c>
      <c r="CE62" s="180">
        <f t="shared" si="33"/>
        <v>0</v>
      </c>
      <c r="CF62" s="180">
        <f t="shared" si="33"/>
        <v>0</v>
      </c>
      <c r="CG62" s="180">
        <f t="shared" si="33"/>
        <v>0</v>
      </c>
      <c r="CH62" s="180">
        <f t="shared" si="33"/>
        <v>0</v>
      </c>
      <c r="CI62" s="180">
        <f t="shared" si="33"/>
        <v>0</v>
      </c>
      <c r="CJ62" s="180">
        <f t="shared" si="33"/>
        <v>0</v>
      </c>
      <c r="CK62">
        <f>MAX(0,1353*(1+0.033*COS(RADIANS(360*E$35/365)))*EXP(-AO62*AC62*Q62))</f>
        <v>20.284401274960064</v>
      </c>
      <c r="CL62">
        <f t="shared" si="34"/>
        <v>17.360767793289341</v>
      </c>
      <c r="CM62">
        <f t="shared" si="34"/>
        <v>14.011696302994885</v>
      </c>
      <c r="CN62">
        <f t="shared" si="34"/>
        <v>11.262778892975057</v>
      </c>
      <c r="CO62">
        <f t="shared" si="34"/>
        <v>9.5763194555329676</v>
      </c>
      <c r="CP62">
        <f t="shared" si="34"/>
        <v>8.9896155224652983</v>
      </c>
      <c r="CQ62">
        <f t="shared" si="34"/>
        <v>9.4828169458475475</v>
      </c>
      <c r="CR62">
        <f t="shared" si="34"/>
        <v>11.080671937144006</v>
      </c>
      <c r="CS62">
        <f t="shared" si="34"/>
        <v>13.75504659234451</v>
      </c>
      <c r="CT62">
        <f t="shared" si="34"/>
        <v>17.103383011798549</v>
      </c>
      <c r="CU62">
        <f t="shared" si="34"/>
        <v>20.112939786998474</v>
      </c>
      <c r="CV62">
        <f t="shared" si="34"/>
        <v>21.403786013982739</v>
      </c>
      <c r="CW62">
        <f>IF(AND(BY62&gt;0,BA62&gt;0),1,0)</f>
        <v>0</v>
      </c>
      <c r="CX62">
        <f t="shared" si="35"/>
        <v>0</v>
      </c>
      <c r="CY62">
        <f t="shared" si="35"/>
        <v>0</v>
      </c>
      <c r="CZ62">
        <f t="shared" si="35"/>
        <v>0</v>
      </c>
      <c r="DA62">
        <f t="shared" si="35"/>
        <v>0</v>
      </c>
      <c r="DB62">
        <f t="shared" si="35"/>
        <v>0</v>
      </c>
      <c r="DC62">
        <f t="shared" si="35"/>
        <v>0</v>
      </c>
      <c r="DD62">
        <f t="shared" si="35"/>
        <v>0</v>
      </c>
      <c r="DE62">
        <f t="shared" si="35"/>
        <v>0</v>
      </c>
      <c r="DF62">
        <f t="shared" si="35"/>
        <v>0</v>
      </c>
      <c r="DG62">
        <f t="shared" si="35"/>
        <v>0</v>
      </c>
      <c r="DH62">
        <f t="shared" si="35"/>
        <v>0</v>
      </c>
      <c r="DI62">
        <f>IF(BY62&gt;0,1,0)</f>
        <v>0</v>
      </c>
      <c r="DJ62">
        <f t="shared" si="36"/>
        <v>0</v>
      </c>
      <c r="DK62">
        <f t="shared" si="36"/>
        <v>0</v>
      </c>
      <c r="DL62">
        <f t="shared" si="36"/>
        <v>0</v>
      </c>
      <c r="DM62">
        <f t="shared" si="36"/>
        <v>0</v>
      </c>
      <c r="DN62">
        <f t="shared" si="36"/>
        <v>0</v>
      </c>
      <c r="DO62">
        <f t="shared" si="36"/>
        <v>0</v>
      </c>
      <c r="DP62">
        <f t="shared" si="36"/>
        <v>0</v>
      </c>
      <c r="DQ62">
        <f t="shared" si="36"/>
        <v>0</v>
      </c>
      <c r="DR62">
        <f t="shared" si="36"/>
        <v>0</v>
      </c>
      <c r="DS62">
        <f t="shared" si="36"/>
        <v>0</v>
      </c>
      <c r="DT62">
        <f t="shared" si="36"/>
        <v>0</v>
      </c>
      <c r="DU62">
        <f>CW62*MAX(0,(CK62*BA62*15))</f>
        <v>0</v>
      </c>
      <c r="DV62">
        <f t="shared" si="37"/>
        <v>0</v>
      </c>
      <c r="DW62">
        <f t="shared" si="37"/>
        <v>0</v>
      </c>
      <c r="DX62">
        <f t="shared" si="37"/>
        <v>0</v>
      </c>
      <c r="DY62">
        <f t="shared" si="37"/>
        <v>0</v>
      </c>
      <c r="DZ62">
        <f t="shared" si="37"/>
        <v>0</v>
      </c>
      <c r="EA62">
        <f t="shared" si="37"/>
        <v>0</v>
      </c>
      <c r="EB62">
        <f t="shared" si="37"/>
        <v>0</v>
      </c>
      <c r="EC62">
        <f t="shared" si="37"/>
        <v>0</v>
      </c>
      <c r="ED62">
        <f t="shared" si="37"/>
        <v>0</v>
      </c>
      <c r="EE62">
        <f t="shared" si="37"/>
        <v>0</v>
      </c>
      <c r="EF62">
        <f t="shared" si="37"/>
        <v>0</v>
      </c>
      <c r="EG62">
        <f>DI62*MAX(0,(CK62*BY62*15))</f>
        <v>0</v>
      </c>
      <c r="EH62">
        <f t="shared" si="38"/>
        <v>0</v>
      </c>
      <c r="EI62">
        <f t="shared" si="38"/>
        <v>0</v>
      </c>
      <c r="EJ62">
        <f t="shared" si="38"/>
        <v>0</v>
      </c>
      <c r="EK62">
        <f t="shared" si="38"/>
        <v>0</v>
      </c>
      <c r="EL62">
        <f t="shared" si="38"/>
        <v>0</v>
      </c>
      <c r="EM62">
        <f t="shared" si="38"/>
        <v>0</v>
      </c>
      <c r="EN62">
        <f t="shared" si="38"/>
        <v>0</v>
      </c>
      <c r="EO62">
        <f t="shared" si="38"/>
        <v>0</v>
      </c>
      <c r="EP62">
        <f t="shared" si="38"/>
        <v>0</v>
      </c>
      <c r="EQ62">
        <f t="shared" si="38"/>
        <v>0</v>
      </c>
      <c r="ER62">
        <f t="shared" si="38"/>
        <v>0</v>
      </c>
    </row>
    <row r="63" spans="2:148" x14ac:dyDescent="0.2">
      <c r="B63" s="179">
        <v>0.95833333333333304</v>
      </c>
      <c r="C63">
        <f t="shared" si="26"/>
        <v>-165</v>
      </c>
      <c r="D63">
        <f t="shared" si="25"/>
        <v>-2.8797932657906435</v>
      </c>
      <c r="E63">
        <f t="shared" si="27"/>
        <v>0</v>
      </c>
      <c r="F63">
        <f t="shared" si="27"/>
        <v>0</v>
      </c>
      <c r="G63">
        <f t="shared" si="27"/>
        <v>0</v>
      </c>
      <c r="H63">
        <f t="shared" si="27"/>
        <v>0</v>
      </c>
      <c r="I63">
        <f t="shared" si="27"/>
        <v>0</v>
      </c>
      <c r="J63">
        <f t="shared" si="27"/>
        <v>0</v>
      </c>
      <c r="K63">
        <f t="shared" si="27"/>
        <v>0</v>
      </c>
      <c r="L63">
        <f t="shared" si="27"/>
        <v>0</v>
      </c>
      <c r="M63">
        <f t="shared" si="27"/>
        <v>0</v>
      </c>
      <c r="N63">
        <f t="shared" si="27"/>
        <v>0</v>
      </c>
      <c r="O63">
        <f t="shared" si="27"/>
        <v>0</v>
      </c>
      <c r="P63">
        <f t="shared" si="27"/>
        <v>0</v>
      </c>
      <c r="Q63">
        <f>3.372+0.053*(PI()*E63/180)-0.296*COS(RADIANS(30*E$22))</f>
        <v>3.1156564804798061</v>
      </c>
      <c r="R63">
        <f t="shared" si="28"/>
        <v>3.2239999999999998</v>
      </c>
      <c r="S63">
        <f t="shared" si="28"/>
        <v>3.3719999999999999</v>
      </c>
      <c r="T63">
        <f t="shared" si="28"/>
        <v>3.52</v>
      </c>
      <c r="U63">
        <f t="shared" si="28"/>
        <v>3.6283435195201936</v>
      </c>
      <c r="V63">
        <f t="shared" si="28"/>
        <v>3.6679999999999997</v>
      </c>
      <c r="W63">
        <f t="shared" si="28"/>
        <v>3.6283435195201936</v>
      </c>
      <c r="X63">
        <f t="shared" si="28"/>
        <v>3.52</v>
      </c>
      <c r="Y63">
        <f t="shared" si="28"/>
        <v>3.3719999999999999</v>
      </c>
      <c r="Z63">
        <f t="shared" si="28"/>
        <v>3.2239999999999998</v>
      </c>
      <c r="AA63">
        <f t="shared" si="28"/>
        <v>3.1156564804798061</v>
      </c>
      <c r="AB63">
        <f t="shared" si="28"/>
        <v>3.0760000000000001</v>
      </c>
      <c r="AC63">
        <f>1.4899-2.1099*COS(RADIANS(E63))+0.6322*COS(RADIANS(2*E63))+0.0253*COS(RADIANS(3*E63))-1.0022*SIN(RADIANS(E63))+1.0077*SIN(RADIANS(2*E63))-0.2606*SIN(RADIANS(3*E63))</f>
        <v>3.7499999999999881E-2</v>
      </c>
      <c r="AD63">
        <f t="shared" si="29"/>
        <v>3.7499999999999881E-2</v>
      </c>
      <c r="AE63">
        <f t="shared" si="29"/>
        <v>3.7499999999999881E-2</v>
      </c>
      <c r="AF63">
        <f t="shared" si="29"/>
        <v>3.7499999999999881E-2</v>
      </c>
      <c r="AG63">
        <f t="shared" si="29"/>
        <v>3.7499999999999881E-2</v>
      </c>
      <c r="AH63">
        <f t="shared" si="29"/>
        <v>3.7499999999999881E-2</v>
      </c>
      <c r="AI63">
        <f t="shared" si="29"/>
        <v>3.7499999999999881E-2</v>
      </c>
      <c r="AJ63">
        <f t="shared" si="29"/>
        <v>3.7499999999999881E-2</v>
      </c>
      <c r="AK63">
        <f t="shared" si="29"/>
        <v>3.7499999999999881E-2</v>
      </c>
      <c r="AL63">
        <f t="shared" si="29"/>
        <v>3.7499999999999881E-2</v>
      </c>
      <c r="AM63">
        <f t="shared" si="29"/>
        <v>3.7499999999999881E-2</v>
      </c>
      <c r="AN63">
        <f t="shared" si="29"/>
        <v>3.7499999999999881E-2</v>
      </c>
      <c r="AO63">
        <f>0.992/(SIN(RADIANS(E63))+0.15*(PI()*E63/180+3.885)^(-1.253))</f>
        <v>36.218241904286437</v>
      </c>
      <c r="AP63">
        <f t="shared" si="30"/>
        <v>36.218241904286437</v>
      </c>
      <c r="AQ63">
        <f t="shared" si="30"/>
        <v>36.218241904286437</v>
      </c>
      <c r="AR63">
        <f t="shared" si="30"/>
        <v>36.218241904286437</v>
      </c>
      <c r="AS63">
        <f t="shared" si="30"/>
        <v>36.218241904286437</v>
      </c>
      <c r="AT63">
        <f t="shared" si="30"/>
        <v>36.218241904286437</v>
      </c>
      <c r="AU63">
        <f t="shared" si="30"/>
        <v>36.218241904286437</v>
      </c>
      <c r="AV63">
        <f t="shared" si="30"/>
        <v>36.218241904286437</v>
      </c>
      <c r="AW63">
        <f t="shared" si="30"/>
        <v>36.218241904286437</v>
      </c>
      <c r="AX63">
        <f t="shared" si="30"/>
        <v>36.218241904286437</v>
      </c>
      <c r="AY63">
        <f t="shared" si="30"/>
        <v>36.218241904286437</v>
      </c>
      <c r="AZ63">
        <f t="shared" si="30"/>
        <v>36.218241904286437</v>
      </c>
      <c r="BA63">
        <f t="shared" si="39"/>
        <v>-0.84943074543362007</v>
      </c>
      <c r="BB63">
        <f t="shared" si="39"/>
        <v>-0.77040768150652905</v>
      </c>
      <c r="BC63">
        <f t="shared" si="39"/>
        <v>-0.648106340511721</v>
      </c>
      <c r="BD63">
        <f t="shared" si="31"/>
        <v>-0.48017117651787111</v>
      </c>
      <c r="BE63">
        <f t="shared" si="31"/>
        <v>-0.33245058133862448</v>
      </c>
      <c r="BF63">
        <f t="shared" si="31"/>
        <v>-0.25422036383080904</v>
      </c>
      <c r="BG63">
        <f t="shared" si="31"/>
        <v>-0.28463189022416002</v>
      </c>
      <c r="BH63">
        <f t="shared" si="31"/>
        <v>-0.41097513995702833</v>
      </c>
      <c r="BI63">
        <f t="shared" si="31"/>
        <v>-0.57951576513646652</v>
      </c>
      <c r="BJ63">
        <f t="shared" si="31"/>
        <v>-0.72750491092411607</v>
      </c>
      <c r="BK63">
        <f t="shared" si="31"/>
        <v>-0.8286057212418132</v>
      </c>
      <c r="BL63">
        <f t="shared" si="31"/>
        <v>-0.86737182460781714</v>
      </c>
      <c r="BM63" s="180">
        <f t="shared" si="40"/>
        <v>6.1257422745431001E-17</v>
      </c>
      <c r="BN63" s="180">
        <f t="shared" si="40"/>
        <v>6.1257422745431001E-17</v>
      </c>
      <c r="BO63" s="180">
        <f t="shared" si="40"/>
        <v>6.1257422745431001E-17</v>
      </c>
      <c r="BP63" s="180">
        <f t="shared" si="40"/>
        <v>6.1257422745431001E-17</v>
      </c>
      <c r="BQ63" s="180">
        <f t="shared" si="40"/>
        <v>6.1257422745431001E-17</v>
      </c>
      <c r="BR63" s="180">
        <f t="shared" si="32"/>
        <v>6.1257422745431001E-17</v>
      </c>
      <c r="BS63" s="180">
        <f t="shared" si="32"/>
        <v>6.1257422745431001E-17</v>
      </c>
      <c r="BT63" s="180">
        <f t="shared" si="32"/>
        <v>6.1257422745431001E-17</v>
      </c>
      <c r="BU63" s="180">
        <f t="shared" si="32"/>
        <v>6.1257422745431001E-17</v>
      </c>
      <c r="BV63" s="180">
        <f t="shared" si="32"/>
        <v>6.1257422745431001E-17</v>
      </c>
      <c r="BW63" s="180">
        <f t="shared" si="32"/>
        <v>6.1257422745431001E-17</v>
      </c>
      <c r="BX63" s="180">
        <f t="shared" si="32"/>
        <v>6.1257422745431001E-17</v>
      </c>
      <c r="BY63" s="180">
        <f>IF(BM63=$BM$40,0,BM63)</f>
        <v>0</v>
      </c>
      <c r="BZ63" s="180">
        <f t="shared" si="33"/>
        <v>0</v>
      </c>
      <c r="CA63" s="180">
        <f t="shared" si="33"/>
        <v>0</v>
      </c>
      <c r="CB63" s="180">
        <f t="shared" si="33"/>
        <v>0</v>
      </c>
      <c r="CC63" s="180">
        <f t="shared" si="33"/>
        <v>0</v>
      </c>
      <c r="CD63" s="180">
        <f t="shared" si="33"/>
        <v>0</v>
      </c>
      <c r="CE63" s="180">
        <f t="shared" si="33"/>
        <v>0</v>
      </c>
      <c r="CF63" s="180">
        <f t="shared" si="33"/>
        <v>0</v>
      </c>
      <c r="CG63" s="180">
        <f t="shared" si="33"/>
        <v>0</v>
      </c>
      <c r="CH63" s="180">
        <f t="shared" si="33"/>
        <v>0</v>
      </c>
      <c r="CI63" s="180">
        <f t="shared" si="33"/>
        <v>0</v>
      </c>
      <c r="CJ63" s="180">
        <f t="shared" si="33"/>
        <v>0</v>
      </c>
      <c r="CK63">
        <f>MAX(0,1353*(1+0.033*COS(RADIANS(360*E$35/365)))*EXP(-AO63*AC63*Q63))</f>
        <v>20.284401274960064</v>
      </c>
      <c r="CL63">
        <f t="shared" si="34"/>
        <v>17.360767793289341</v>
      </c>
      <c r="CM63">
        <f t="shared" si="34"/>
        <v>14.011696302994885</v>
      </c>
      <c r="CN63">
        <f t="shared" si="34"/>
        <v>11.262778892975057</v>
      </c>
      <c r="CO63">
        <f t="shared" si="34"/>
        <v>9.5763194555329676</v>
      </c>
      <c r="CP63">
        <f t="shared" si="34"/>
        <v>8.9896155224652983</v>
      </c>
      <c r="CQ63">
        <f t="shared" si="34"/>
        <v>9.4828169458475475</v>
      </c>
      <c r="CR63">
        <f t="shared" si="34"/>
        <v>11.080671937144006</v>
      </c>
      <c r="CS63">
        <f t="shared" si="34"/>
        <v>13.75504659234451</v>
      </c>
      <c r="CT63">
        <f t="shared" si="34"/>
        <v>17.103383011798549</v>
      </c>
      <c r="CU63">
        <f t="shared" si="34"/>
        <v>20.112939786998474</v>
      </c>
      <c r="CV63">
        <f t="shared" si="34"/>
        <v>21.403786013982739</v>
      </c>
      <c r="CW63">
        <f>IF(AND(BY63&gt;0,BA63&gt;0),1,0)</f>
        <v>0</v>
      </c>
      <c r="CX63">
        <f t="shared" si="35"/>
        <v>0</v>
      </c>
      <c r="CY63">
        <f t="shared" si="35"/>
        <v>0</v>
      </c>
      <c r="CZ63">
        <f t="shared" si="35"/>
        <v>0</v>
      </c>
      <c r="DA63">
        <f t="shared" si="35"/>
        <v>0</v>
      </c>
      <c r="DB63">
        <f t="shared" si="35"/>
        <v>0</v>
      </c>
      <c r="DC63">
        <f t="shared" si="35"/>
        <v>0</v>
      </c>
      <c r="DD63">
        <f t="shared" si="35"/>
        <v>0</v>
      </c>
      <c r="DE63">
        <f t="shared" si="35"/>
        <v>0</v>
      </c>
      <c r="DF63">
        <f t="shared" si="35"/>
        <v>0</v>
      </c>
      <c r="DG63">
        <f t="shared" si="35"/>
        <v>0</v>
      </c>
      <c r="DH63">
        <f t="shared" si="35"/>
        <v>0</v>
      </c>
      <c r="DI63">
        <f>IF(BY63&gt;0,1,0)</f>
        <v>0</v>
      </c>
      <c r="DJ63">
        <f t="shared" si="36"/>
        <v>0</v>
      </c>
      <c r="DK63">
        <f t="shared" si="36"/>
        <v>0</v>
      </c>
      <c r="DL63">
        <f t="shared" si="36"/>
        <v>0</v>
      </c>
      <c r="DM63">
        <f t="shared" si="36"/>
        <v>0</v>
      </c>
      <c r="DN63">
        <f t="shared" si="36"/>
        <v>0</v>
      </c>
      <c r="DO63">
        <f t="shared" si="36"/>
        <v>0</v>
      </c>
      <c r="DP63">
        <f t="shared" si="36"/>
        <v>0</v>
      </c>
      <c r="DQ63">
        <f t="shared" si="36"/>
        <v>0</v>
      </c>
      <c r="DR63">
        <f t="shared" si="36"/>
        <v>0</v>
      </c>
      <c r="DS63">
        <f t="shared" si="36"/>
        <v>0</v>
      </c>
      <c r="DT63">
        <f t="shared" si="36"/>
        <v>0</v>
      </c>
      <c r="DU63">
        <f>CW63*MAX(0,(CK63*BA63*15))</f>
        <v>0</v>
      </c>
      <c r="DV63">
        <f t="shared" si="37"/>
        <v>0</v>
      </c>
      <c r="DW63">
        <f t="shared" si="37"/>
        <v>0</v>
      </c>
      <c r="DX63">
        <f t="shared" si="37"/>
        <v>0</v>
      </c>
      <c r="DY63">
        <f t="shared" si="37"/>
        <v>0</v>
      </c>
      <c r="DZ63">
        <f t="shared" si="37"/>
        <v>0</v>
      </c>
      <c r="EA63">
        <f t="shared" si="37"/>
        <v>0</v>
      </c>
      <c r="EB63">
        <f t="shared" si="37"/>
        <v>0</v>
      </c>
      <c r="EC63">
        <f t="shared" si="37"/>
        <v>0</v>
      </c>
      <c r="ED63">
        <f t="shared" si="37"/>
        <v>0</v>
      </c>
      <c r="EE63">
        <f t="shared" si="37"/>
        <v>0</v>
      </c>
      <c r="EF63">
        <f t="shared" si="37"/>
        <v>0</v>
      </c>
      <c r="EG63">
        <f>DI63*MAX(0,(CK63*BY63*15))</f>
        <v>0</v>
      </c>
      <c r="EH63">
        <f t="shared" si="38"/>
        <v>0</v>
      </c>
      <c r="EI63">
        <f t="shared" si="38"/>
        <v>0</v>
      </c>
      <c r="EJ63">
        <f t="shared" si="38"/>
        <v>0</v>
      </c>
      <c r="EK63">
        <f t="shared" si="38"/>
        <v>0</v>
      </c>
      <c r="EL63">
        <f t="shared" si="38"/>
        <v>0</v>
      </c>
      <c r="EM63">
        <f t="shared" si="38"/>
        <v>0</v>
      </c>
      <c r="EN63">
        <f t="shared" si="38"/>
        <v>0</v>
      </c>
      <c r="EO63">
        <f t="shared" si="38"/>
        <v>0</v>
      </c>
      <c r="EP63">
        <f t="shared" si="38"/>
        <v>0</v>
      </c>
      <c r="EQ63">
        <f t="shared" si="38"/>
        <v>0</v>
      </c>
      <c r="ER63">
        <f t="shared" si="38"/>
        <v>0</v>
      </c>
    </row>
  </sheetData>
  <sheetProtection password="B2FB" sheet="1" objects="1" scenarios="1"/>
  <phoneticPr fontId="2" type="noConversion"/>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3" tint="0.79998168889431442"/>
  </sheetPr>
  <dimension ref="A1:AK415"/>
  <sheetViews>
    <sheetView topLeftCell="A19" workbookViewId="0">
      <selection activeCell="G52" sqref="G52"/>
    </sheetView>
  </sheetViews>
  <sheetFormatPr defaultRowHeight="12.75" x14ac:dyDescent="0.2"/>
  <cols>
    <col min="1" max="1" width="5.7109375" style="208" customWidth="1"/>
    <col min="2" max="2" width="34.140625" style="206" customWidth="1"/>
    <col min="3" max="3" width="12.5703125" style="385" customWidth="1"/>
    <col min="4" max="14" width="10" style="385" bestFit="1" customWidth="1"/>
    <col min="15" max="15" width="11.42578125" style="386" customWidth="1"/>
    <col min="16" max="16" width="9.140625" style="206"/>
    <col min="17" max="17" width="10.7109375" style="208" bestFit="1" customWidth="1"/>
    <col min="18" max="18" width="11" style="208" customWidth="1"/>
    <col min="19" max="35" width="9.140625" style="208"/>
    <col min="36" max="16384" width="9.140625" style="206"/>
  </cols>
  <sheetData>
    <row r="1" spans="2:16" s="208" customFormat="1" ht="13.5" thickBot="1" x14ac:dyDescent="0.25">
      <c r="C1" s="322"/>
      <c r="D1" s="322"/>
      <c r="E1" s="322"/>
      <c r="F1" s="322"/>
      <c r="G1" s="322"/>
      <c r="H1" s="322"/>
      <c r="I1" s="322"/>
      <c r="J1" s="322"/>
      <c r="K1" s="322"/>
      <c r="L1" s="322"/>
      <c r="M1" s="322"/>
      <c r="N1" s="322"/>
      <c r="O1" s="323"/>
    </row>
    <row r="2" spans="2:16" s="208" customFormat="1" x14ac:dyDescent="0.2">
      <c r="B2" s="324" t="s">
        <v>391</v>
      </c>
      <c r="C2" s="325"/>
      <c r="D2" s="325"/>
      <c r="E2" s="325"/>
      <c r="F2" s="325"/>
      <c r="G2" s="325"/>
      <c r="H2" s="325"/>
      <c r="I2" s="325"/>
      <c r="J2" s="325"/>
      <c r="K2" s="325"/>
      <c r="L2" s="325"/>
      <c r="M2" s="325"/>
      <c r="N2" s="325"/>
      <c r="O2" s="325"/>
      <c r="P2" s="244"/>
    </row>
    <row r="3" spans="2:16" s="208" customFormat="1" x14ac:dyDescent="0.2">
      <c r="B3" s="245" t="s">
        <v>458</v>
      </c>
      <c r="C3" s="326"/>
      <c r="D3" s="326"/>
      <c r="E3" s="326"/>
      <c r="F3" s="326"/>
      <c r="G3" s="326"/>
      <c r="H3" s="326"/>
      <c r="I3" s="326"/>
      <c r="J3" s="326"/>
      <c r="K3" s="326"/>
      <c r="L3" s="326"/>
      <c r="M3" s="326"/>
      <c r="N3" s="326"/>
      <c r="O3" s="326"/>
      <c r="P3" s="247"/>
    </row>
    <row r="4" spans="2:16" s="208" customFormat="1" ht="13.5" thickBot="1" x14ac:dyDescent="0.25">
      <c r="B4" s="249" t="s">
        <v>459</v>
      </c>
      <c r="C4" s="327"/>
      <c r="D4" s="327"/>
      <c r="E4" s="327"/>
      <c r="F4" s="327"/>
      <c r="G4" s="327"/>
      <c r="H4" s="327"/>
      <c r="I4" s="327"/>
      <c r="J4" s="327"/>
      <c r="K4" s="327"/>
      <c r="L4" s="327"/>
      <c r="M4" s="327"/>
      <c r="N4" s="327"/>
      <c r="O4" s="327"/>
      <c r="P4" s="252"/>
    </row>
    <row r="5" spans="2:16" s="208" customFormat="1" ht="13.5" thickBot="1" x14ac:dyDescent="0.25">
      <c r="C5" s="322"/>
      <c r="D5" s="322"/>
      <c r="E5" s="322"/>
      <c r="F5" s="322"/>
      <c r="G5" s="322"/>
      <c r="H5" s="322"/>
      <c r="I5" s="322"/>
      <c r="J5" s="322"/>
      <c r="K5" s="322"/>
      <c r="L5" s="322"/>
      <c r="M5" s="322"/>
      <c r="N5" s="322"/>
      <c r="O5" s="323"/>
    </row>
    <row r="6" spans="2:16" x14ac:dyDescent="0.2">
      <c r="B6" s="328"/>
      <c r="C6" s="329" t="s">
        <v>3</v>
      </c>
      <c r="D6" s="329" t="s">
        <v>4</v>
      </c>
      <c r="E6" s="329" t="s">
        <v>147</v>
      </c>
      <c r="F6" s="329" t="s">
        <v>6</v>
      </c>
      <c r="G6" s="329" t="s">
        <v>7</v>
      </c>
      <c r="H6" s="329" t="s">
        <v>8</v>
      </c>
      <c r="I6" s="329" t="s">
        <v>9</v>
      </c>
      <c r="J6" s="329" t="s">
        <v>10</v>
      </c>
      <c r="K6" s="329" t="s">
        <v>11</v>
      </c>
      <c r="L6" s="329" t="s">
        <v>12</v>
      </c>
      <c r="M6" s="329" t="s">
        <v>13</v>
      </c>
      <c r="N6" s="329" t="s">
        <v>14</v>
      </c>
      <c r="O6" s="329" t="s">
        <v>15</v>
      </c>
      <c r="P6" s="330"/>
    </row>
    <row r="7" spans="2:16" x14ac:dyDescent="0.2">
      <c r="B7" s="331" t="s">
        <v>107</v>
      </c>
      <c r="C7" s="332"/>
      <c r="D7" s="332"/>
      <c r="E7" s="332"/>
      <c r="F7" s="332"/>
      <c r="G7" s="332"/>
      <c r="H7" s="332"/>
      <c r="I7" s="332"/>
      <c r="J7" s="332"/>
      <c r="K7" s="332"/>
      <c r="L7" s="332"/>
      <c r="M7" s="332"/>
      <c r="N7" s="332"/>
      <c r="O7" s="332"/>
      <c r="P7" s="333"/>
    </row>
    <row r="8" spans="2:16" ht="14.25" x14ac:dyDescent="0.25">
      <c r="B8" s="305" t="s">
        <v>483</v>
      </c>
      <c r="C8" s="334">
        <f>Parameters!$B$57*(Parameters!B9-Parameters!B7)*Parameters!B$6</f>
        <v>35203.599370105505</v>
      </c>
      <c r="D8" s="334">
        <f>Parameters!$B$57*(Parameters!C9-Parameters!C7)*Parameters!C$6</f>
        <v>30672.670158247685</v>
      </c>
      <c r="E8" s="334">
        <f>Parameters!$B$57*(Parameters!D9-Parameters!D7)*Parameters!D$6</f>
        <v>30403.108546909305</v>
      </c>
      <c r="F8" s="334">
        <f>Parameters!$B$57*(Parameters!E9-Parameters!E7)*Parameters!E$6</f>
        <v>23744.363211508116</v>
      </c>
      <c r="G8" s="334">
        <f>Parameters!$B$57*(Parameters!F9-Parameters!F7)*Parameters!F$6</f>
        <v>17246.207772223403</v>
      </c>
      <c r="H8" s="334">
        <f>Parameters!$B$57*(Parameters!G9-Parameters!G7)*Parameters!G$6</f>
        <v>11700.121002772115</v>
      </c>
      <c r="I8" s="334">
        <f>Parameters!$B$57*(Parameters!H9-Parameters!H7)*Parameters!H$6</f>
        <v>9600.9816463924089</v>
      </c>
      <c r="J8" s="334">
        <f>Parameters!$B$57*(Parameters!I9-Parameters!I7)*Parameters!I$6</f>
        <v>9600.9816463924089</v>
      </c>
      <c r="K8" s="334">
        <f>Parameters!$B$57*(Parameters!J9-Parameters!J7)*Parameters!J$6</f>
        <v>13420.727032591543</v>
      </c>
      <c r="L8" s="334">
        <f>Parameters!$B$57*(Parameters!K9-Parameters!K7)*Parameters!K$6</f>
        <v>20979.922856931564</v>
      </c>
      <c r="M8" s="334">
        <f>Parameters!$B$57*(Parameters!L9-Parameters!L7)*Parameters!L$6</f>
        <v>28734.120697984457</v>
      </c>
      <c r="N8" s="334">
        <f>Parameters!$B$57*(Parameters!M9-Parameters!M7)*Parameters!M$6</f>
        <v>34670.211500861486</v>
      </c>
      <c r="O8" s="334">
        <f>SUM(C8:N8)</f>
        <v>265977.01544292003</v>
      </c>
      <c r="P8" s="214" t="s">
        <v>0</v>
      </c>
    </row>
    <row r="9" spans="2:16" ht="14.25" x14ac:dyDescent="0.25">
      <c r="B9" s="305" t="s">
        <v>484</v>
      </c>
      <c r="C9" s="334">
        <f>Parameters!$B$58*(Parameters!B10-Parameters!B8)*Parameters!B6</f>
        <v>41819.699967897606</v>
      </c>
      <c r="D9" s="334">
        <f>Parameters!$B$58*(Parameters!C10-Parameters!C8)*Parameters!C6</f>
        <v>37772.632229068804</v>
      </c>
      <c r="E9" s="334">
        <f>Parameters!$B$58*(Parameters!D10-Parameters!D8)*Parameters!D6</f>
        <v>41819.699967897606</v>
      </c>
      <c r="F9" s="334">
        <f>Parameters!$B$58*(Parameters!E10-Parameters!E8)*Parameters!E6</f>
        <v>40470.677388288008</v>
      </c>
      <c r="G9" s="334">
        <f>Parameters!$B$58*(Parameters!F10-Parameters!F8)*Parameters!F6</f>
        <v>41819.699967897606</v>
      </c>
      <c r="H9" s="334">
        <f>Parameters!$B$58*(Parameters!G10-Parameters!G8)*Parameters!G6</f>
        <v>27751.32163768321</v>
      </c>
      <c r="I9" s="334">
        <f>Parameters!$B$58*(Parameters!H10-Parameters!H8)*Parameters!H6</f>
        <v>20312.425698693114</v>
      </c>
      <c r="J9" s="334">
        <f>Parameters!$B$58*(Parameters!I10-Parameters!I8)*Parameters!I6</f>
        <v>20312.425698693114</v>
      </c>
      <c r="K9" s="334">
        <f>Parameters!$B$58*(Parameters!J10-Parameters!J8)*Parameters!J6</f>
        <v>33532.846978867208</v>
      </c>
      <c r="L9" s="334">
        <f>Parameters!$B$58*(Parameters!K10-Parameters!K8)*Parameters!K6</f>
        <v>41819.699967897606</v>
      </c>
      <c r="M9" s="334">
        <f>Parameters!$B$58*(Parameters!L10-Parameters!L8)*Parameters!L6</f>
        <v>40470.677388288008</v>
      </c>
      <c r="N9" s="334">
        <f>Parameters!$B$58*(Parameters!M10-Parameters!M8)*Parameters!M6</f>
        <v>41819.699967897606</v>
      </c>
      <c r="O9" s="334">
        <f>SUM(C9:N9)</f>
        <v>429721.50685906952</v>
      </c>
      <c r="P9" s="214" t="s">
        <v>0</v>
      </c>
    </row>
    <row r="10" spans="2:16" x14ac:dyDescent="0.2">
      <c r="B10" s="305"/>
      <c r="C10" s="323"/>
      <c r="D10" s="323"/>
      <c r="E10" s="323"/>
      <c r="F10" s="323"/>
      <c r="G10" s="323"/>
      <c r="H10" s="323"/>
      <c r="I10" s="323"/>
      <c r="J10" s="323"/>
      <c r="K10" s="323"/>
      <c r="L10" s="323"/>
      <c r="M10" s="323"/>
      <c r="N10" s="323"/>
      <c r="O10" s="323"/>
      <c r="P10" s="214"/>
    </row>
    <row r="11" spans="2:16" ht="14.25" x14ac:dyDescent="0.25">
      <c r="B11" s="305" t="s">
        <v>485</v>
      </c>
      <c r="C11" s="334">
        <f>Parameters!$B$68*Parameters!$B$17*Parameters!B$6*Parameters!$B$18/3.6</f>
        <v>3487.6859999999997</v>
      </c>
      <c r="D11" s="334">
        <f>Parameters!$B$68*Parameters!$B$17*Parameters!C$6*Parameters!$B$18/3.6</f>
        <v>3150.1680000000001</v>
      </c>
      <c r="E11" s="334">
        <f>Parameters!$B$68*Parameters!$B$17*Parameters!D$6*Parameters!$B$18/3.6</f>
        <v>3487.6859999999997</v>
      </c>
      <c r="F11" s="334">
        <f>Parameters!$B$68*Parameters!$B$17*Parameters!E$6*Parameters!$B$18/3.6</f>
        <v>3375.1800000000003</v>
      </c>
      <c r="G11" s="334">
        <f>Parameters!$B$68*Parameters!$B$17*Parameters!F$6*Parameters!$B$18/3.6</f>
        <v>3487.6859999999997</v>
      </c>
      <c r="H11" s="334">
        <f>Parameters!$B$68*Parameters!$B$17*Parameters!G$6*Parameters!$B$18/3.6</f>
        <v>3375.1800000000003</v>
      </c>
      <c r="I11" s="334">
        <f>Parameters!$B$68*Parameters!$B$17*Parameters!H$6*Parameters!$B$18/3.6</f>
        <v>3487.6859999999997</v>
      </c>
      <c r="J11" s="334">
        <f>Parameters!$B$68*Parameters!$B$17*Parameters!I$6*Parameters!$B$18/3.6</f>
        <v>3487.6859999999997</v>
      </c>
      <c r="K11" s="334">
        <f>Parameters!$B$68*Parameters!$B$17*Parameters!J$6*Parameters!$B$18/3.6</f>
        <v>3375.1800000000003</v>
      </c>
      <c r="L11" s="334">
        <f>Parameters!$B$68*Parameters!$B$17*Parameters!K$6*Parameters!$B$18/3.6</f>
        <v>3487.6859999999997</v>
      </c>
      <c r="M11" s="334">
        <f>Parameters!$B$68*Parameters!$B$17*Parameters!L$6*Parameters!$B$18/3.6</f>
        <v>3375.1800000000003</v>
      </c>
      <c r="N11" s="334">
        <f>Parameters!$B$68*Parameters!$B$17*Parameters!M$6*Parameters!$B$18/3.6</f>
        <v>3487.6859999999997</v>
      </c>
      <c r="O11" s="334">
        <f>SUM(C11:N11)</f>
        <v>41064.69</v>
      </c>
      <c r="P11" s="214" t="s">
        <v>99</v>
      </c>
    </row>
    <row r="12" spans="2:16" ht="14.25" x14ac:dyDescent="0.25">
      <c r="B12" s="305" t="s">
        <v>485</v>
      </c>
      <c r="C12" s="334">
        <f>IF(Gegevensinvoer!$C$51=0,0,(0.8*Parameters!$B$70*Parameters!$B$71*Parameters!$B$72*Parameters!$B$17*Parameters!B$6*Parameters!$B$18)/(3.6*Parameters!$B$73))</f>
        <v>895.86900000000003</v>
      </c>
      <c r="D12" s="334">
        <f>IF(Gegevensinvoer!$C$51=0,0,(0.8*Parameters!$B$70*Parameters!$B$71*Parameters!$B$72*Parameters!$B$17*Parameters!C$6*Parameters!$B$18)/(3.6*Parameters!$B$73))</f>
        <v>809.17200000000003</v>
      </c>
      <c r="E12" s="334">
        <f>IF(Gegevensinvoer!$C$51=0,0,(0.8*Parameters!$B$70*Parameters!$B$71*Parameters!$B$72*Parameters!$B$17*Parameters!D$6*Parameters!$B$18)/(3.6*Parameters!$B$73))</f>
        <v>895.86900000000003</v>
      </c>
      <c r="F12" s="334">
        <f>IF(Gegevensinvoer!$C$51=0,0,(0.8*Parameters!$B$70*Parameters!$B$71*Parameters!$B$72*Parameters!$B$17*Parameters!E$6*Parameters!$B$18)/(3.6*Parameters!$B$73))</f>
        <v>866.96999999999991</v>
      </c>
      <c r="G12" s="334">
        <f>IF(Gegevensinvoer!$C$51=0,0,(0.8*Parameters!$B$70*Parameters!$B$71*Parameters!$B$72*Parameters!$B$17*Parameters!F$6*Parameters!$B$18)/(3.6*Parameters!$B$73))</f>
        <v>895.86900000000003</v>
      </c>
      <c r="H12" s="334">
        <f>IF(Gegevensinvoer!$C$51=0,0,(0.8*Parameters!$B$70*Parameters!$B$71*Parameters!$B$72*Parameters!$B$17*Parameters!G$6*Parameters!$B$18)/(3.6*Parameters!$B$73))</f>
        <v>866.96999999999991</v>
      </c>
      <c r="I12" s="334">
        <f>IF(Gegevensinvoer!$C$51=0,0,(0.8*Parameters!$B$70*Parameters!$B$71*Parameters!$B$72*Parameters!$B$17*Parameters!H$6*Parameters!$B$18)/(3.6*Parameters!$B$73))</f>
        <v>895.86900000000003</v>
      </c>
      <c r="J12" s="334">
        <f>IF(Gegevensinvoer!$C$51=0,0,(0.8*Parameters!$B$70*Parameters!$B$71*Parameters!$B$72*Parameters!$B$17*Parameters!I$6*Parameters!$B$18)/(3.6*Parameters!$B$73))</f>
        <v>895.86900000000003</v>
      </c>
      <c r="K12" s="334">
        <f>IF(Gegevensinvoer!$C$51=0,0,(0.8*Parameters!$B$70*Parameters!$B$71*Parameters!$B$72*Parameters!$B$17*Parameters!J$6*Parameters!$B$18)/(3.6*Parameters!$B$73))</f>
        <v>866.96999999999991</v>
      </c>
      <c r="L12" s="334">
        <f>IF(Gegevensinvoer!$C$51=0,0,(0.8*Parameters!$B$70*Parameters!$B$71*Parameters!$B$72*Parameters!$B$17*Parameters!K$6*Parameters!$B$18)/(3.6*Parameters!$B$73))</f>
        <v>895.86900000000003</v>
      </c>
      <c r="M12" s="334">
        <f>IF(Gegevensinvoer!$C$51=0,0,(0.8*Parameters!$B$70*Parameters!$B$71*Parameters!$B$72*Parameters!$B$17*Parameters!L$6*Parameters!$B$18)/(3.6*Parameters!$B$73))</f>
        <v>866.96999999999991</v>
      </c>
      <c r="N12" s="334">
        <f>IF(Gegevensinvoer!$C$51=0,0,(0.8*Parameters!$B$70*Parameters!$B$71*Parameters!$B$72*Parameters!$B$17*Parameters!M$6*Parameters!$B$18)/(3.6*Parameters!$B$73))</f>
        <v>895.86900000000003</v>
      </c>
      <c r="O12" s="334">
        <f>SUM(C12:N12)</f>
        <v>10548.135</v>
      </c>
      <c r="P12" s="214" t="s">
        <v>99</v>
      </c>
    </row>
    <row r="13" spans="2:16" x14ac:dyDescent="0.2">
      <c r="B13" s="305"/>
      <c r="C13" s="334"/>
      <c r="D13" s="334"/>
      <c r="E13" s="334"/>
      <c r="F13" s="334"/>
      <c r="G13" s="334"/>
      <c r="H13" s="334"/>
      <c r="I13" s="334"/>
      <c r="J13" s="334"/>
      <c r="K13" s="334"/>
      <c r="L13" s="334"/>
      <c r="M13" s="334"/>
      <c r="N13" s="334"/>
      <c r="O13" s="334"/>
      <c r="P13" s="214"/>
    </row>
    <row r="14" spans="2:16" ht="14.25" x14ac:dyDescent="0.25">
      <c r="B14" s="305" t="s">
        <v>486</v>
      </c>
      <c r="C14" s="334">
        <f>Parameters!$B$68*Parameters!$B$17*Parameters!B$6/3.6</f>
        <v>3487.6859999999997</v>
      </c>
      <c r="D14" s="334">
        <f>Parameters!$B$68*Parameters!$B$17*Parameters!C$6/3.6</f>
        <v>3150.1680000000001</v>
      </c>
      <c r="E14" s="334">
        <f>Parameters!$B$68*Parameters!$B$17*Parameters!D$6/3.6</f>
        <v>3487.6859999999997</v>
      </c>
      <c r="F14" s="334">
        <f>Parameters!$B$68*Parameters!$B$17*Parameters!E$6/3.6</f>
        <v>3375.1800000000003</v>
      </c>
      <c r="G14" s="334">
        <f>Parameters!$B$68*Parameters!$B$17*Parameters!F$6/3.6</f>
        <v>3487.6859999999997</v>
      </c>
      <c r="H14" s="334">
        <f>Parameters!$B$68*Parameters!$B$17*Parameters!G$6/3.6</f>
        <v>3375.1800000000003</v>
      </c>
      <c r="I14" s="334">
        <f>Parameters!$B$68*Parameters!$B$17*Parameters!H$6/3.6</f>
        <v>3487.6859999999997</v>
      </c>
      <c r="J14" s="334">
        <f>Parameters!$B$68*Parameters!$B$17*Parameters!I$6/3.6</f>
        <v>3487.6859999999997</v>
      </c>
      <c r="K14" s="334">
        <f>Parameters!$B$68*Parameters!$B$17*Parameters!J$6/3.6</f>
        <v>3375.1800000000003</v>
      </c>
      <c r="L14" s="334">
        <f>Parameters!$B$68*Parameters!$B$17*Parameters!K$6/3.6</f>
        <v>3487.6859999999997</v>
      </c>
      <c r="M14" s="334">
        <f>Parameters!$B$68*Parameters!$B$17*Parameters!L$6/3.6</f>
        <v>3375.1800000000003</v>
      </c>
      <c r="N14" s="334">
        <f>Parameters!$B$68*Parameters!$B$17*Parameters!M$6/3.6</f>
        <v>3487.6859999999997</v>
      </c>
      <c r="O14" s="334">
        <f>SUM(C14:N14)</f>
        <v>41064.69</v>
      </c>
      <c r="P14" s="214" t="s">
        <v>99</v>
      </c>
    </row>
    <row r="15" spans="2:16" ht="14.25" x14ac:dyDescent="0.25">
      <c r="B15" s="305" t="s">
        <v>486</v>
      </c>
      <c r="C15" s="334">
        <f>IF(Gegevensinvoer!$C$51=0,0,(0.8*Parameters!$B$70*Parameters!$B$71*Parameters!$B$72*Parameters!$B$17*Parameters!B$6)/(3.6*Parameters!$B$73))</f>
        <v>895.86900000000003</v>
      </c>
      <c r="D15" s="334">
        <f>IF(Gegevensinvoer!$C$51=0,0,(0.8*Parameters!$B$70*Parameters!$B$71*Parameters!$B$72*Parameters!$B$17*Parameters!C$6)/(3.6*Parameters!$B$73))</f>
        <v>809.17200000000003</v>
      </c>
      <c r="E15" s="334">
        <f>IF(Gegevensinvoer!$C$51=0,0,(0.8*Parameters!$B$70*Parameters!$B$71*Parameters!$B$72*Parameters!$B$17*Parameters!D$6)/(3.6*Parameters!$B$73))</f>
        <v>895.86900000000003</v>
      </c>
      <c r="F15" s="334">
        <f>IF(Gegevensinvoer!$C$51=0,0,(0.8*Parameters!$B$70*Parameters!$B$71*Parameters!$B$72*Parameters!$B$17*Parameters!E$6)/(3.6*Parameters!$B$73))</f>
        <v>866.96999999999991</v>
      </c>
      <c r="G15" s="334">
        <f>IF(Gegevensinvoer!$C$51=0,0,(0.8*Parameters!$B$70*Parameters!$B$71*Parameters!$B$72*Parameters!$B$17*Parameters!F$6)/(3.6*Parameters!$B$73))</f>
        <v>895.86900000000003</v>
      </c>
      <c r="H15" s="334">
        <f>IF(Gegevensinvoer!$C$51=0,0,(0.8*Parameters!$B$70*Parameters!$B$71*Parameters!$B$72*Parameters!$B$17*Parameters!G$6)/(3.6*Parameters!$B$73))</f>
        <v>866.96999999999991</v>
      </c>
      <c r="I15" s="334">
        <f>IF(Gegevensinvoer!$C$51=0,0,(0.8*Parameters!$B$70*Parameters!$B$71*Parameters!$B$72*Parameters!$B$17*Parameters!H$6)/(3.6*Parameters!$B$73))</f>
        <v>895.86900000000003</v>
      </c>
      <c r="J15" s="334">
        <f>IF(Gegevensinvoer!$C$51=0,0,(0.8*Parameters!$B$70*Parameters!$B$71*Parameters!$B$72*Parameters!$B$17*Parameters!I$6)/(3.6*Parameters!$B$73))</f>
        <v>895.86900000000003</v>
      </c>
      <c r="K15" s="334">
        <f>IF(Gegevensinvoer!$C$51=0,0,(0.8*Parameters!$B$70*Parameters!$B$71*Parameters!$B$72*Parameters!$B$17*Parameters!J$6)/(3.6*Parameters!$B$73))</f>
        <v>866.96999999999991</v>
      </c>
      <c r="L15" s="334">
        <f>IF(Gegevensinvoer!$C$51=0,0,(0.8*Parameters!$B$70*Parameters!$B$71*Parameters!$B$72*Parameters!$B$17*Parameters!K$6)/(3.6*Parameters!$B$73))</f>
        <v>895.86900000000003</v>
      </c>
      <c r="M15" s="334">
        <f>IF(Gegevensinvoer!$C$51=0,0,(0.8*Parameters!$B$70*Parameters!$B$71*Parameters!$B$72*Parameters!$B$17*Parameters!L$6)/(3.6*Parameters!$B$73))</f>
        <v>866.96999999999991</v>
      </c>
      <c r="N15" s="334">
        <f>IF(Gegevensinvoer!$C$51=0,0,(0.8*Parameters!$B$70*Parameters!$B$71*Parameters!$B$72*Parameters!$B$17*Parameters!M$6)/(3.6*Parameters!$B$73))</f>
        <v>895.86900000000003</v>
      </c>
      <c r="O15" s="334">
        <f>SUM(C15:N15)</f>
        <v>10548.135</v>
      </c>
      <c r="P15" s="214" t="s">
        <v>99</v>
      </c>
    </row>
    <row r="16" spans="2:16" ht="18.600000000000001" customHeight="1" x14ac:dyDescent="0.2">
      <c r="B16" s="335"/>
      <c r="C16" s="336"/>
      <c r="D16" s="337"/>
      <c r="E16" s="337"/>
      <c r="F16" s="337"/>
      <c r="G16" s="337"/>
      <c r="H16" s="336"/>
      <c r="I16" s="336"/>
      <c r="J16" s="338"/>
      <c r="K16" s="336"/>
      <c r="L16" s="336"/>
      <c r="M16" s="323"/>
      <c r="N16" s="323"/>
      <c r="O16" s="323"/>
      <c r="P16" s="214"/>
    </row>
    <row r="17" spans="1:35" x14ac:dyDescent="0.2">
      <c r="B17" s="339" t="s">
        <v>127</v>
      </c>
      <c r="C17" s="340"/>
      <c r="D17" s="340"/>
      <c r="E17" s="340"/>
      <c r="F17" s="340"/>
      <c r="G17" s="340"/>
      <c r="H17" s="340"/>
      <c r="I17" s="340"/>
      <c r="J17" s="340"/>
      <c r="K17" s="340"/>
      <c r="L17" s="340"/>
      <c r="M17" s="340"/>
      <c r="N17" s="340"/>
      <c r="O17" s="340"/>
      <c r="P17" s="341"/>
      <c r="Q17" s="342"/>
    </row>
    <row r="18" spans="1:35" x14ac:dyDescent="0.2">
      <c r="B18" s="305"/>
      <c r="C18" s="323"/>
      <c r="D18" s="323"/>
      <c r="E18" s="323"/>
      <c r="F18" s="323"/>
      <c r="G18" s="323"/>
      <c r="H18" s="323"/>
      <c r="I18" s="323"/>
      <c r="J18" s="323"/>
      <c r="K18" s="323"/>
      <c r="L18" s="323"/>
      <c r="M18" s="323"/>
      <c r="N18" s="323"/>
      <c r="O18" s="323"/>
      <c r="P18" s="214"/>
    </row>
    <row r="19" spans="1:35" x14ac:dyDescent="0.2">
      <c r="B19" s="305" t="s">
        <v>128</v>
      </c>
      <c r="C19" s="334">
        <f>Parameters!$B$46*(Parameters!B$9-Parameters!B$7)*Parameters!B$6</f>
        <v>45651.065637241292</v>
      </c>
      <c r="D19" s="334">
        <f>Parameters!$B$46*(Parameters!C$9-Parameters!C$7)*Parameters!C$6</f>
        <v>39775.48045421415</v>
      </c>
      <c r="E19" s="334">
        <f>Parameters!$B$46*(Parameters!D$9-Parameters!D$7)*Parameters!D$6</f>
        <v>39425.920323072023</v>
      </c>
      <c r="F19" s="334">
        <f>Parameters!$B$46*(Parameters!E$9-Parameters!E$7)*Parameters!E$6</f>
        <v>30791.041338901752</v>
      </c>
      <c r="G19" s="334">
        <f>Parameters!$B$46*(Parameters!F$9-Parameters!F$7)*Parameters!F$6</f>
        <v>22364.410943496994</v>
      </c>
      <c r="H19" s="334">
        <f>Parameters!$B$46*(Parameters!G$9-Parameters!G$7)*Parameters!G$6</f>
        <v>15172.39718148782</v>
      </c>
      <c r="I19" s="334">
        <f>Parameters!$B$46*(Parameters!H$9-Parameters!H$7)*Parameters!H$6</f>
        <v>12450.290628338531</v>
      </c>
      <c r="J19" s="334">
        <f>Parameters!$B$46*(Parameters!I$9-Parameters!I$7)*Parameters!I$6</f>
        <v>12450.290628338531</v>
      </c>
      <c r="K19" s="334">
        <f>Parameters!$B$46*(Parameters!J$9-Parameters!J$7)*Parameters!J$6</f>
        <v>17403.632061118384</v>
      </c>
      <c r="L19" s="334">
        <f>Parameters!$B$46*(Parameters!K$9-Parameters!K$7)*Parameters!K$6</f>
        <v>27206.190632295311</v>
      </c>
      <c r="M19" s="334">
        <f>Parameters!$B$46*(Parameters!L$9-Parameters!L$7)*Parameters!L$6</f>
        <v>37261.622489830377</v>
      </c>
      <c r="N19" s="334">
        <f>Parameters!$B$46*(Parameters!M$9-Parameters!M$7)*Parameters!M$6</f>
        <v>44959.382824555811</v>
      </c>
      <c r="O19" s="343">
        <f>SUM(C19:N19)</f>
        <v>344911.72514289094</v>
      </c>
      <c r="P19" s="214" t="s">
        <v>0</v>
      </c>
      <c r="Q19" s="313"/>
      <c r="T19" s="322"/>
      <c r="U19" s="344"/>
    </row>
    <row r="20" spans="1:35" x14ac:dyDescent="0.2">
      <c r="B20" s="305" t="s">
        <v>171</v>
      </c>
      <c r="C20" s="334">
        <f>C8</f>
        <v>35203.599370105505</v>
      </c>
      <c r="D20" s="334">
        <f t="shared" ref="D20:N20" si="0">D8</f>
        <v>30672.670158247685</v>
      </c>
      <c r="E20" s="334">
        <f t="shared" si="0"/>
        <v>30403.108546909305</v>
      </c>
      <c r="F20" s="334">
        <f t="shared" si="0"/>
        <v>23744.363211508116</v>
      </c>
      <c r="G20" s="334">
        <f t="shared" si="0"/>
        <v>17246.207772223403</v>
      </c>
      <c r="H20" s="334">
        <f t="shared" si="0"/>
        <v>11700.121002772115</v>
      </c>
      <c r="I20" s="334">
        <f t="shared" si="0"/>
        <v>9600.9816463924089</v>
      </c>
      <c r="J20" s="334">
        <f t="shared" si="0"/>
        <v>9600.9816463924089</v>
      </c>
      <c r="K20" s="334">
        <f t="shared" si="0"/>
        <v>13420.727032591543</v>
      </c>
      <c r="L20" s="334">
        <f t="shared" si="0"/>
        <v>20979.922856931564</v>
      </c>
      <c r="M20" s="334">
        <f t="shared" si="0"/>
        <v>28734.120697984457</v>
      </c>
      <c r="N20" s="334">
        <f t="shared" si="0"/>
        <v>34670.211500861486</v>
      </c>
      <c r="O20" s="343">
        <f>SUM(C20:N20)</f>
        <v>265977.01544292003</v>
      </c>
      <c r="P20" s="214" t="s">
        <v>0</v>
      </c>
      <c r="Q20" s="313"/>
      <c r="U20" s="308"/>
    </row>
    <row r="21" spans="1:35" x14ac:dyDescent="0.2">
      <c r="B21" s="305" t="s">
        <v>129</v>
      </c>
      <c r="C21" s="334">
        <f>0.8*C48</f>
        <v>6238.5342465753429</v>
      </c>
      <c r="D21" s="334">
        <f t="shared" ref="D21:N21" si="1">0.8*D47</f>
        <v>16956.594337315069</v>
      </c>
      <c r="E21" s="334">
        <f t="shared" si="1"/>
        <v>18773.372302027397</v>
      </c>
      <c r="F21" s="334">
        <f t="shared" si="1"/>
        <v>18167.779647123287</v>
      </c>
      <c r="G21" s="334">
        <f t="shared" si="1"/>
        <v>18773.372302027397</v>
      </c>
      <c r="H21" s="334">
        <f t="shared" si="1"/>
        <v>18167.779647123287</v>
      </c>
      <c r="I21" s="334">
        <f t="shared" si="1"/>
        <v>18773.372302027397</v>
      </c>
      <c r="J21" s="334">
        <f t="shared" si="1"/>
        <v>18773.372302027397</v>
      </c>
      <c r="K21" s="334">
        <f t="shared" si="1"/>
        <v>18167.779647123287</v>
      </c>
      <c r="L21" s="334">
        <f t="shared" si="1"/>
        <v>18773.372302027397</v>
      </c>
      <c r="M21" s="334">
        <f t="shared" si="1"/>
        <v>18167.779647123287</v>
      </c>
      <c r="N21" s="334">
        <f t="shared" si="1"/>
        <v>18773.372302027397</v>
      </c>
      <c r="O21" s="334">
        <f>SUM(C21:N21)</f>
        <v>208506.4809845479</v>
      </c>
      <c r="P21" s="214" t="s">
        <v>0</v>
      </c>
      <c r="Q21" s="313"/>
      <c r="U21" s="212"/>
    </row>
    <row r="22" spans="1:35" x14ac:dyDescent="0.2">
      <c r="B22" s="305" t="s">
        <v>19</v>
      </c>
      <c r="C22" s="334">
        <f>ResultatenEPB!C16</f>
        <v>1984.7247228364799</v>
      </c>
      <c r="D22" s="334">
        <f>ResultatenEPB!D16</f>
        <v>3215.22074540118</v>
      </c>
      <c r="E22" s="334">
        <f>ResultatenEPB!E16</f>
        <v>5544.2180254398399</v>
      </c>
      <c r="F22" s="334">
        <f>ResultatenEPB!F16</f>
        <v>7599.2000607399204</v>
      </c>
      <c r="G22" s="334">
        <f>ResultatenEPB!G16</f>
        <v>9833.1096964868193</v>
      </c>
      <c r="H22" s="334">
        <f>ResultatenEPB!H16</f>
        <v>10013.517483763901</v>
      </c>
      <c r="I22" s="334">
        <f>ResultatenEPB!I16</f>
        <v>9851.1973652858796</v>
      </c>
      <c r="J22" s="334">
        <f>ResultatenEPB!J16</f>
        <v>9046.2184180488293</v>
      </c>
      <c r="K22" s="334">
        <f>ResultatenEPB!K16</f>
        <v>7113.5061808324099</v>
      </c>
      <c r="L22" s="334">
        <f>ResultatenEPB!L16</f>
        <v>4790.7835780507803</v>
      </c>
      <c r="M22" s="334">
        <f>ResultatenEPB!M16</f>
        <v>2492.25538512193</v>
      </c>
      <c r="N22" s="334">
        <f>ResultatenEPB!N16</f>
        <v>1562.1964896378599</v>
      </c>
      <c r="O22" s="334">
        <f>SUM(C22:N22)</f>
        <v>73046.14815164583</v>
      </c>
      <c r="P22" s="214" t="s">
        <v>0</v>
      </c>
      <c r="Q22" s="313"/>
      <c r="T22" s="322"/>
      <c r="U22" s="344"/>
    </row>
    <row r="23" spans="1:35" x14ac:dyDescent="0.2">
      <c r="B23" s="305"/>
      <c r="C23" s="323"/>
      <c r="D23" s="323"/>
      <c r="E23" s="323"/>
      <c r="F23" s="323"/>
      <c r="G23" s="323"/>
      <c r="H23" s="323"/>
      <c r="I23" s="323"/>
      <c r="J23" s="323"/>
      <c r="K23" s="323"/>
      <c r="L23" s="323"/>
      <c r="M23" s="323"/>
      <c r="N23" s="323"/>
      <c r="O23" s="323"/>
      <c r="P23" s="214"/>
    </row>
    <row r="24" spans="1:35" s="345" customFormat="1" x14ac:dyDescent="0.2">
      <c r="A24" s="208"/>
      <c r="B24" s="305" t="s">
        <v>130</v>
      </c>
      <c r="C24" s="334">
        <f>C21+C22</f>
        <v>8223.2589694118233</v>
      </c>
      <c r="D24" s="334">
        <f t="shared" ref="D24:N24" si="2">D21+D22</f>
        <v>20171.81508271625</v>
      </c>
      <c r="E24" s="334">
        <f t="shared" si="2"/>
        <v>24317.590327467238</v>
      </c>
      <c r="F24" s="334">
        <f t="shared" si="2"/>
        <v>25766.979707863207</v>
      </c>
      <c r="G24" s="334">
        <f t="shared" si="2"/>
        <v>28606.481998514217</v>
      </c>
      <c r="H24" s="334">
        <f t="shared" si="2"/>
        <v>28181.297130887186</v>
      </c>
      <c r="I24" s="334">
        <f t="shared" si="2"/>
        <v>28624.569667313277</v>
      </c>
      <c r="J24" s="334">
        <f t="shared" si="2"/>
        <v>27819.590720076227</v>
      </c>
      <c r="K24" s="334">
        <f t="shared" si="2"/>
        <v>25281.285827955697</v>
      </c>
      <c r="L24" s="334">
        <f t="shared" si="2"/>
        <v>23564.155880078179</v>
      </c>
      <c r="M24" s="334">
        <f t="shared" si="2"/>
        <v>20660.035032245218</v>
      </c>
      <c r="N24" s="334">
        <f t="shared" si="2"/>
        <v>20335.568791665257</v>
      </c>
      <c r="O24" s="334">
        <f>SUM(C24:N24)</f>
        <v>281552.62913619378</v>
      </c>
      <c r="P24" s="214" t="s">
        <v>0</v>
      </c>
      <c r="Q24" s="208"/>
      <c r="R24" s="208"/>
      <c r="S24" s="208"/>
      <c r="T24" s="208"/>
      <c r="U24" s="208"/>
      <c r="V24" s="208"/>
      <c r="W24" s="208"/>
      <c r="X24" s="208"/>
      <c r="Y24" s="208"/>
      <c r="Z24" s="208"/>
      <c r="AA24" s="208"/>
      <c r="AB24" s="208"/>
      <c r="AC24" s="208"/>
      <c r="AD24" s="208"/>
      <c r="AE24" s="208"/>
      <c r="AF24" s="208"/>
      <c r="AG24" s="208"/>
      <c r="AH24" s="208"/>
      <c r="AI24" s="208"/>
    </row>
    <row r="25" spans="1:35" s="345" customFormat="1" x14ac:dyDescent="0.2">
      <c r="A25" s="208"/>
      <c r="B25" s="305" t="s">
        <v>131</v>
      </c>
      <c r="C25" s="334">
        <f t="shared" ref="C25:N25" si="3">C19+C20</f>
        <v>80854.665007346804</v>
      </c>
      <c r="D25" s="334">
        <f t="shared" si="3"/>
        <v>70448.150612461832</v>
      </c>
      <c r="E25" s="334">
        <f t="shared" si="3"/>
        <v>69829.028869981325</v>
      </c>
      <c r="F25" s="334">
        <f t="shared" si="3"/>
        <v>54535.404550409869</v>
      </c>
      <c r="G25" s="334">
        <f t="shared" si="3"/>
        <v>39610.618715720397</v>
      </c>
      <c r="H25" s="334">
        <f t="shared" si="3"/>
        <v>26872.518184259934</v>
      </c>
      <c r="I25" s="334">
        <f t="shared" si="3"/>
        <v>22051.272274730938</v>
      </c>
      <c r="J25" s="334">
        <f t="shared" si="3"/>
        <v>22051.272274730938</v>
      </c>
      <c r="K25" s="334">
        <f t="shared" si="3"/>
        <v>30824.359093709929</v>
      </c>
      <c r="L25" s="334">
        <f t="shared" si="3"/>
        <v>48186.113489226875</v>
      </c>
      <c r="M25" s="334">
        <f t="shared" si="3"/>
        <v>65995.743187814835</v>
      </c>
      <c r="N25" s="334">
        <f t="shared" si="3"/>
        <v>79629.594325417303</v>
      </c>
      <c r="O25" s="334">
        <f>SUM(C25:N25)</f>
        <v>610888.74058581097</v>
      </c>
      <c r="P25" s="214" t="s">
        <v>0</v>
      </c>
      <c r="Q25" s="208"/>
      <c r="R25" s="208"/>
      <c r="S25" s="208"/>
      <c r="T25" s="208"/>
      <c r="U25" s="208"/>
      <c r="V25" s="208"/>
      <c r="W25" s="208"/>
      <c r="X25" s="208"/>
      <c r="Y25" s="208"/>
      <c r="Z25" s="208"/>
      <c r="AA25" s="208"/>
      <c r="AB25" s="208"/>
      <c r="AC25" s="208"/>
      <c r="AD25" s="208"/>
      <c r="AE25" s="208"/>
      <c r="AF25" s="208"/>
      <c r="AG25" s="208"/>
      <c r="AH25" s="208"/>
      <c r="AI25" s="208"/>
    </row>
    <row r="26" spans="1:35" s="345" customFormat="1" x14ac:dyDescent="0.2">
      <c r="A26" s="208"/>
      <c r="B26" s="305" t="s">
        <v>132</v>
      </c>
      <c r="C26" s="346">
        <f>C24/C25</f>
        <v>0.1017041993639405</v>
      </c>
      <c r="D26" s="346">
        <f t="shared" ref="D26:N26" si="4">D24/D25</f>
        <v>0.28633562282823055</v>
      </c>
      <c r="E26" s="346">
        <f t="shared" si="4"/>
        <v>0.34824471600121426</v>
      </c>
      <c r="F26" s="346">
        <f t="shared" si="4"/>
        <v>0.47248168268460294</v>
      </c>
      <c r="G26" s="346">
        <f t="shared" si="4"/>
        <v>0.72219225364336626</v>
      </c>
      <c r="H26" s="346">
        <f t="shared" si="4"/>
        <v>1.0487032490834389</v>
      </c>
      <c r="I26" s="346">
        <f t="shared" si="4"/>
        <v>1.2980915255449832</v>
      </c>
      <c r="J26" s="346">
        <f t="shared" si="4"/>
        <v>1.2615866501251876</v>
      </c>
      <c r="K26" s="346">
        <f t="shared" si="4"/>
        <v>0.82017231083693931</v>
      </c>
      <c r="L26" s="346">
        <f t="shared" si="4"/>
        <v>0.48902379075138513</v>
      </c>
      <c r="M26" s="346">
        <f t="shared" si="4"/>
        <v>0.31305102472214902</v>
      </c>
      <c r="N26" s="346">
        <f t="shared" si="4"/>
        <v>0.25537702362969672</v>
      </c>
      <c r="O26" s="323"/>
      <c r="P26" s="214"/>
      <c r="Q26" s="208"/>
      <c r="R26" s="208"/>
      <c r="S26" s="208"/>
      <c r="T26" s="208"/>
      <c r="U26" s="208"/>
      <c r="V26" s="208"/>
      <c r="W26" s="208"/>
      <c r="X26" s="208"/>
      <c r="Y26" s="208"/>
      <c r="Z26" s="208"/>
      <c r="AA26" s="208"/>
      <c r="AB26" s="208"/>
      <c r="AC26" s="208"/>
      <c r="AD26" s="208"/>
      <c r="AE26" s="208"/>
      <c r="AF26" s="208"/>
      <c r="AG26" s="208"/>
      <c r="AH26" s="208"/>
      <c r="AI26" s="208"/>
    </row>
    <row r="27" spans="1:35" s="345" customFormat="1" x14ac:dyDescent="0.2">
      <c r="A27" s="208"/>
      <c r="B27" s="305" t="s">
        <v>133</v>
      </c>
      <c r="C27" s="347">
        <f>IF(C26&lt;2.5,IF(C26=1,Parameters!$C$103/(1+Parameters!$C$103),(1-C26^Parameters!$C$103)/(1-C26^(Parameters!$C$103+1))),1/C26)</f>
        <v>0.90121123100042466</v>
      </c>
      <c r="D27" s="347">
        <f>IF(D26&lt;2.5,IF(D26=1,Parameters!$C$103/(1+Parameters!$C$103),(1-D26^Parameters!$C$103)/(1-D26^(Parameters!$C$103+1))),1/D26)</f>
        <v>0.76831128001258764</v>
      </c>
      <c r="E27" s="347">
        <f>IF(E26&lt;2.5,IF(E26=1,Parameters!$C$103/(1+Parameters!$C$103),(1-E26^Parameters!$C$103)/(1-E26^(Parameters!$C$103+1))),1/E26)</f>
        <v>0.73242720938690686</v>
      </c>
      <c r="F27" s="347">
        <f>IF(F26&lt;2.5,IF(F26=1,Parameters!$C$103/(1+Parameters!$C$103),(1-F26^Parameters!$C$103)/(1-F26^(Parameters!$C$103+1))),1/F26)</f>
        <v>0.66988054744725423</v>
      </c>
      <c r="G27" s="347">
        <f>IF(G26&lt;2.5,IF(G26=1,Parameters!$C$103/(1+Parameters!$C$103),(1-G26^Parameters!$C$103)/(1-G26^(Parameters!$C$103+1))),1/G26)</f>
        <v>0.57215835884522837</v>
      </c>
      <c r="H27" s="347">
        <f>IF(H26&lt;2.5,IF(H26=1,Parameters!$C$103/(1+Parameters!$C$103),(1-H26^Parameters!$C$103)/(1-H26^(Parameters!$C$103+1))),1/H26)</f>
        <v>0.48085054850527986</v>
      </c>
      <c r="I27" s="347">
        <f>IF(I26&lt;2.5,IF(I26=1,Parameters!$C$103/(1+Parameters!$C$103),(1-I26^Parameters!$C$103)/(1-I26^(Parameters!$C$103+1))),1/I26)</f>
        <v>0.42873718585000742</v>
      </c>
      <c r="J27" s="347">
        <f>IF(J26&lt;2.5,IF(J26=1,Parameters!$C$103/(1+Parameters!$C$103),(1-J26^Parameters!$C$103)/(1-J26^(Parameters!$C$103+1))),1/J26)</f>
        <v>0.43564277068638368</v>
      </c>
      <c r="K27" s="347">
        <f>IF(K26&lt;2.5,IF(K26=1,Parameters!$C$103/(1+Parameters!$C$103),(1-K26^Parameters!$C$103)/(1-K26^(Parameters!$C$103+1))),1/K26)</f>
        <v>0.54127230095596668</v>
      </c>
      <c r="L27" s="347">
        <f>IF(L26&lt;2.5,IF(L26=1,Parameters!$C$103/(1+Parameters!$C$103),(1-L26^Parameters!$C$103)/(1-L26^(Parameters!$C$103+1))),1/L26)</f>
        <v>0.66236621637217918</v>
      </c>
      <c r="M27" s="347">
        <f>IF(M26&lt;2.5,IF(M26=1,Parameters!$C$103/(1+Parameters!$C$103),(1-M26^Parameters!$C$103)/(1-M26^(Parameters!$C$103+1))),1/M26)</f>
        <v>0.75239038594187679</v>
      </c>
      <c r="N27" s="347">
        <f>IF(N26&lt;2.5,IF(N26=1,Parameters!$C$103/(1+Parameters!$C$103),(1-N26^Parameters!$C$103)/(1-N26^(Parameters!$C$103+1))),1/N26)</f>
        <v>0.78765744152678796</v>
      </c>
      <c r="O27" s="323"/>
      <c r="P27" s="222"/>
      <c r="Q27" s="313"/>
      <c r="R27" s="208"/>
      <c r="S27" s="208"/>
      <c r="T27" s="208"/>
      <c r="U27" s="208"/>
      <c r="V27" s="208"/>
      <c r="W27" s="208"/>
      <c r="X27" s="208"/>
      <c r="Y27" s="208"/>
      <c r="Z27" s="208"/>
      <c r="AA27" s="208"/>
      <c r="AB27" s="208"/>
      <c r="AC27" s="208"/>
      <c r="AD27" s="208"/>
      <c r="AE27" s="208"/>
      <c r="AF27" s="208"/>
      <c r="AG27" s="208"/>
      <c r="AH27" s="208"/>
      <c r="AI27" s="208"/>
    </row>
    <row r="28" spans="1:35" s="345" customFormat="1" x14ac:dyDescent="0.2">
      <c r="A28" s="208"/>
      <c r="B28" s="305"/>
      <c r="C28" s="323"/>
      <c r="D28" s="323"/>
      <c r="E28" s="323"/>
      <c r="F28" s="323"/>
      <c r="G28" s="323"/>
      <c r="H28" s="323"/>
      <c r="I28" s="323"/>
      <c r="J28" s="323"/>
      <c r="K28" s="323"/>
      <c r="L28" s="323"/>
      <c r="M28" s="323"/>
      <c r="N28" s="323"/>
      <c r="O28" s="323"/>
      <c r="P28" s="214"/>
      <c r="Q28" s="208"/>
      <c r="R28" s="208"/>
      <c r="S28" s="208"/>
      <c r="T28" s="208"/>
      <c r="U28" s="208"/>
      <c r="V28" s="208"/>
      <c r="W28" s="208"/>
      <c r="X28" s="208"/>
      <c r="Y28" s="208"/>
      <c r="Z28" s="208"/>
      <c r="AA28" s="208"/>
      <c r="AB28" s="208"/>
      <c r="AC28" s="208"/>
      <c r="AD28" s="208"/>
      <c r="AE28" s="208"/>
      <c r="AF28" s="208"/>
      <c r="AG28" s="208"/>
      <c r="AH28" s="208"/>
      <c r="AI28" s="208"/>
    </row>
    <row r="29" spans="1:35" s="345" customFormat="1" x14ac:dyDescent="0.2">
      <c r="A29" s="208"/>
      <c r="B29" s="339" t="s">
        <v>134</v>
      </c>
      <c r="C29" s="348"/>
      <c r="D29" s="340"/>
      <c r="E29" s="340"/>
      <c r="F29" s="340"/>
      <c r="G29" s="340"/>
      <c r="H29" s="340"/>
      <c r="I29" s="340"/>
      <c r="J29" s="340"/>
      <c r="K29" s="340"/>
      <c r="L29" s="340"/>
      <c r="M29" s="340"/>
      <c r="N29" s="340"/>
      <c r="O29" s="340"/>
      <c r="P29" s="341"/>
      <c r="Q29" s="342"/>
      <c r="R29" s="208"/>
      <c r="S29" s="208"/>
      <c r="T29" s="208"/>
      <c r="U29" s="208"/>
      <c r="V29" s="208"/>
      <c r="W29" s="208"/>
      <c r="X29" s="208"/>
      <c r="Y29" s="208"/>
      <c r="Z29" s="208"/>
      <c r="AA29" s="208"/>
      <c r="AB29" s="208"/>
      <c r="AC29" s="208"/>
      <c r="AD29" s="208"/>
      <c r="AE29" s="208"/>
      <c r="AF29" s="208"/>
      <c r="AG29" s="208"/>
      <c r="AH29" s="208"/>
      <c r="AI29" s="208"/>
    </row>
    <row r="30" spans="1:35" s="345" customFormat="1" x14ac:dyDescent="0.2">
      <c r="A30" s="208"/>
      <c r="B30" s="305"/>
      <c r="C30" s="323"/>
      <c r="D30" s="323"/>
      <c r="E30" s="323"/>
      <c r="F30" s="323"/>
      <c r="G30" s="323"/>
      <c r="H30" s="323"/>
      <c r="I30" s="323"/>
      <c r="J30" s="323"/>
      <c r="K30" s="323"/>
      <c r="L30" s="323"/>
      <c r="M30" s="323"/>
      <c r="N30" s="323"/>
      <c r="O30" s="323"/>
      <c r="P30" s="214"/>
      <c r="Q30" s="208"/>
      <c r="R30" s="208"/>
      <c r="S30" s="208"/>
      <c r="T30" s="208"/>
      <c r="U30" s="208"/>
      <c r="V30" s="208"/>
      <c r="W30" s="208"/>
      <c r="X30" s="208"/>
      <c r="Y30" s="208"/>
      <c r="Z30" s="208"/>
      <c r="AA30" s="208"/>
      <c r="AB30" s="208"/>
      <c r="AC30" s="208"/>
      <c r="AD30" s="208"/>
      <c r="AE30" s="208"/>
      <c r="AF30" s="208"/>
      <c r="AG30" s="208"/>
      <c r="AH30" s="208"/>
      <c r="AI30" s="208"/>
    </row>
    <row r="31" spans="1:35" s="345" customFormat="1" x14ac:dyDescent="0.2">
      <c r="A31" s="208"/>
      <c r="B31" s="305" t="s">
        <v>111</v>
      </c>
      <c r="C31" s="343">
        <f t="shared" ref="C31:N31" si="5">C19+C20-C27*(C21+C22)</f>
        <v>73443.771668687899</v>
      </c>
      <c r="D31" s="343">
        <f t="shared" si="5"/>
        <v>54949.917546082885</v>
      </c>
      <c r="E31" s="343">
        <f t="shared" si="5"/>
        <v>52018.164047420461</v>
      </c>
      <c r="F31" s="343">
        <f t="shared" si="5"/>
        <v>37274.606077644174</v>
      </c>
      <c r="G31" s="343">
        <f t="shared" si="5"/>
        <v>23243.180923114935</v>
      </c>
      <c r="H31" s="343">
        <f t="shared" si="5"/>
        <v>13321.526001282562</v>
      </c>
      <c r="I31" s="343">
        <f t="shared" si="5"/>
        <v>9778.8548293995609</v>
      </c>
      <c r="J31" s="343">
        <f t="shared" si="5"/>
        <v>9931.8686940757234</v>
      </c>
      <c r="K31" s="343">
        <f t="shared" si="5"/>
        <v>17140.299342486876</v>
      </c>
      <c r="L31" s="343">
        <f t="shared" si="5"/>
        <v>32578.012716935253</v>
      </c>
      <c r="M31" s="343">
        <f t="shared" si="5"/>
        <v>50451.331456331158</v>
      </c>
      <c r="N31" s="343">
        <f t="shared" si="5"/>
        <v>63612.132238982253</v>
      </c>
      <c r="O31" s="343">
        <f>SUM(C31:N31)</f>
        <v>437743.66554244375</v>
      </c>
      <c r="P31" s="214" t="s">
        <v>0</v>
      </c>
      <c r="Q31" s="311"/>
      <c r="R31" s="349"/>
      <c r="S31" s="208"/>
      <c r="T31" s="208"/>
      <c r="U31" s="208"/>
      <c r="V31" s="208"/>
      <c r="W31" s="208"/>
      <c r="X31" s="208"/>
      <c r="Y31" s="208"/>
      <c r="Z31" s="208"/>
      <c r="AA31" s="208"/>
      <c r="AB31" s="208"/>
      <c r="AC31" s="208"/>
      <c r="AD31" s="208"/>
      <c r="AE31" s="208"/>
      <c r="AF31" s="208"/>
      <c r="AG31" s="208"/>
      <c r="AH31" s="208"/>
      <c r="AI31" s="208"/>
    </row>
    <row r="32" spans="1:35" s="345" customFormat="1" x14ac:dyDescent="0.2">
      <c r="A32" s="208"/>
      <c r="B32" s="350" t="s">
        <v>22</v>
      </c>
      <c r="C32" s="351">
        <f>Parameters!$C$111</f>
        <v>4.62</v>
      </c>
      <c r="D32" s="351">
        <f>Parameters!$C$111</f>
        <v>4.62</v>
      </c>
      <c r="E32" s="351">
        <f>Parameters!$C$111</f>
        <v>4.62</v>
      </c>
      <c r="F32" s="351">
        <f>Parameters!$C$111</f>
        <v>4.62</v>
      </c>
      <c r="G32" s="351">
        <f>Parameters!$C$111</f>
        <v>4.62</v>
      </c>
      <c r="H32" s="351">
        <f>Parameters!$C$111</f>
        <v>4.62</v>
      </c>
      <c r="I32" s="351">
        <f>Parameters!$C$111</f>
        <v>4.62</v>
      </c>
      <c r="J32" s="351">
        <f>Parameters!$C$111</f>
        <v>4.62</v>
      </c>
      <c r="K32" s="351">
        <f>Parameters!$C$111</f>
        <v>4.62</v>
      </c>
      <c r="L32" s="351">
        <f>Parameters!$C$111</f>
        <v>4.62</v>
      </c>
      <c r="M32" s="351">
        <f>Parameters!$C$111</f>
        <v>4.62</v>
      </c>
      <c r="N32" s="351">
        <f>Parameters!$C$111</f>
        <v>4.62</v>
      </c>
      <c r="O32" s="323"/>
      <c r="P32" s="214"/>
      <c r="Q32" s="208"/>
      <c r="R32" s="208"/>
      <c r="S32" s="208"/>
      <c r="T32" s="208"/>
      <c r="U32" s="208"/>
      <c r="V32" s="208"/>
      <c r="W32" s="208"/>
      <c r="X32" s="208"/>
      <c r="Y32" s="208"/>
      <c r="Z32" s="208"/>
      <c r="AA32" s="208"/>
      <c r="AB32" s="208"/>
      <c r="AC32" s="208"/>
      <c r="AD32" s="208"/>
      <c r="AE32" s="208"/>
      <c r="AF32" s="208"/>
      <c r="AG32" s="208"/>
      <c r="AH32" s="208"/>
      <c r="AI32" s="208"/>
    </row>
    <row r="33" spans="1:35" s="345" customFormat="1" x14ac:dyDescent="0.2">
      <c r="A33" s="208"/>
      <c r="B33" s="305" t="s">
        <v>112</v>
      </c>
      <c r="C33" s="343">
        <f t="shared" ref="C33:N33" si="6">C31/C32</f>
        <v>15896.92027460777</v>
      </c>
      <c r="D33" s="343">
        <f t="shared" si="6"/>
        <v>11893.921546771187</v>
      </c>
      <c r="E33" s="343">
        <f t="shared" si="6"/>
        <v>11259.342867407026</v>
      </c>
      <c r="F33" s="343">
        <f t="shared" si="6"/>
        <v>8068.0965536026351</v>
      </c>
      <c r="G33" s="343">
        <f t="shared" si="6"/>
        <v>5030.991541799769</v>
      </c>
      <c r="H33" s="343">
        <f t="shared" si="6"/>
        <v>2883.4471864247971</v>
      </c>
      <c r="I33" s="343">
        <f t="shared" si="6"/>
        <v>2116.6352444587792</v>
      </c>
      <c r="J33" s="343">
        <f t="shared" si="6"/>
        <v>2149.7551285878189</v>
      </c>
      <c r="K33" s="343">
        <f t="shared" si="6"/>
        <v>3710.0215027027871</v>
      </c>
      <c r="L33" s="343">
        <f t="shared" si="6"/>
        <v>7051.5179040985395</v>
      </c>
      <c r="M33" s="343">
        <f t="shared" si="6"/>
        <v>10920.201613924493</v>
      </c>
      <c r="N33" s="343">
        <f t="shared" si="6"/>
        <v>13768.859791987501</v>
      </c>
      <c r="O33" s="343">
        <f>SUM(C33:N33)</f>
        <v>94749.711156373116</v>
      </c>
      <c r="P33" s="214" t="s">
        <v>0</v>
      </c>
      <c r="Q33" s="311"/>
      <c r="R33" s="349"/>
      <c r="S33" s="208"/>
      <c r="T33" s="208"/>
      <c r="U33" s="208"/>
      <c r="V33" s="208"/>
      <c r="W33" s="208"/>
      <c r="X33" s="208"/>
      <c r="Y33" s="208"/>
      <c r="Z33" s="208"/>
      <c r="AA33" s="208"/>
      <c r="AB33" s="208"/>
      <c r="AC33" s="208"/>
      <c r="AD33" s="208"/>
      <c r="AE33" s="208"/>
      <c r="AF33" s="208"/>
      <c r="AG33" s="208"/>
      <c r="AH33" s="208"/>
      <c r="AI33" s="208"/>
    </row>
    <row r="34" spans="1:35" s="345" customFormat="1" x14ac:dyDescent="0.2">
      <c r="A34" s="208"/>
      <c r="B34" s="350" t="s">
        <v>24</v>
      </c>
      <c r="C34" s="351">
        <f>Parameters!$C$112</f>
        <v>0.84</v>
      </c>
      <c r="D34" s="351">
        <f t="shared" ref="D34:N34" si="7">C34</f>
        <v>0.84</v>
      </c>
      <c r="E34" s="351">
        <f t="shared" si="7"/>
        <v>0.84</v>
      </c>
      <c r="F34" s="351">
        <f t="shared" si="7"/>
        <v>0.84</v>
      </c>
      <c r="G34" s="351">
        <f t="shared" si="7"/>
        <v>0.84</v>
      </c>
      <c r="H34" s="351">
        <f t="shared" si="7"/>
        <v>0.84</v>
      </c>
      <c r="I34" s="351">
        <f t="shared" si="7"/>
        <v>0.84</v>
      </c>
      <c r="J34" s="351">
        <f t="shared" si="7"/>
        <v>0.84</v>
      </c>
      <c r="K34" s="351">
        <f t="shared" si="7"/>
        <v>0.84</v>
      </c>
      <c r="L34" s="351">
        <f t="shared" si="7"/>
        <v>0.84</v>
      </c>
      <c r="M34" s="351">
        <f t="shared" si="7"/>
        <v>0.84</v>
      </c>
      <c r="N34" s="351">
        <f t="shared" si="7"/>
        <v>0.84</v>
      </c>
      <c r="O34" s="334"/>
      <c r="P34" s="214"/>
      <c r="Q34" s="208"/>
      <c r="R34" s="208"/>
      <c r="S34" s="208"/>
      <c r="T34" s="208"/>
      <c r="U34" s="208"/>
      <c r="V34" s="208"/>
      <c r="W34" s="208"/>
      <c r="X34" s="208"/>
      <c r="Y34" s="208"/>
      <c r="Z34" s="208"/>
      <c r="AA34" s="208"/>
      <c r="AB34" s="208"/>
      <c r="AC34" s="208"/>
      <c r="AD34" s="208"/>
      <c r="AE34" s="208"/>
      <c r="AF34" s="208"/>
      <c r="AG34" s="208"/>
      <c r="AH34" s="208"/>
      <c r="AI34" s="208"/>
    </row>
    <row r="35" spans="1:35" s="345" customFormat="1" x14ac:dyDescent="0.2">
      <c r="A35" s="208"/>
      <c r="B35" s="305" t="s">
        <v>113</v>
      </c>
      <c r="C35" s="343">
        <f t="shared" ref="C35:N35" si="8">C33/C34</f>
        <v>18924.905088818774</v>
      </c>
      <c r="D35" s="343">
        <f t="shared" si="8"/>
        <v>14159.430412822843</v>
      </c>
      <c r="E35" s="343">
        <f t="shared" si="8"/>
        <v>13403.979604055983</v>
      </c>
      <c r="F35" s="343">
        <f t="shared" si="8"/>
        <v>9604.8768495269469</v>
      </c>
      <c r="G35" s="343">
        <f t="shared" si="8"/>
        <v>5989.275644999725</v>
      </c>
      <c r="H35" s="343">
        <f t="shared" si="8"/>
        <v>3432.6752219342825</v>
      </c>
      <c r="I35" s="343">
        <f t="shared" si="8"/>
        <v>2519.8038624509277</v>
      </c>
      <c r="J35" s="343">
        <f t="shared" si="8"/>
        <v>2559.2322959378798</v>
      </c>
      <c r="K35" s="343">
        <f t="shared" si="8"/>
        <v>4416.6922651223658</v>
      </c>
      <c r="L35" s="343">
        <f t="shared" si="8"/>
        <v>8394.6641715458809</v>
      </c>
      <c r="M35" s="343">
        <f t="shared" si="8"/>
        <v>13000.240016576778</v>
      </c>
      <c r="N35" s="343">
        <f t="shared" si="8"/>
        <v>16391.499752366075</v>
      </c>
      <c r="O35" s="343">
        <f>SUM(C35:N35)</f>
        <v>112797.27518615845</v>
      </c>
      <c r="P35" s="214" t="s">
        <v>0</v>
      </c>
      <c r="Q35" s="311"/>
      <c r="R35" s="349"/>
      <c r="S35" s="208"/>
      <c r="T35" s="208"/>
      <c r="U35" s="208"/>
      <c r="V35" s="208"/>
      <c r="W35" s="208"/>
      <c r="X35" s="208"/>
      <c r="Y35" s="208"/>
      <c r="Z35" s="208"/>
      <c r="AA35" s="208"/>
      <c r="AB35" s="208"/>
      <c r="AC35" s="208"/>
      <c r="AD35" s="208"/>
      <c r="AE35" s="208"/>
      <c r="AF35" s="208"/>
      <c r="AG35" s="208"/>
      <c r="AH35" s="208"/>
      <c r="AI35" s="208"/>
    </row>
    <row r="36" spans="1:35" s="345" customFormat="1" x14ac:dyDescent="0.2">
      <c r="A36" s="208"/>
      <c r="B36" s="350" t="s">
        <v>114</v>
      </c>
      <c r="C36" s="323">
        <f>Parameters!$C$113</f>
        <v>2.5</v>
      </c>
      <c r="D36" s="323">
        <f t="shared" ref="D36:N36" si="9">C36</f>
        <v>2.5</v>
      </c>
      <c r="E36" s="323">
        <f t="shared" si="9"/>
        <v>2.5</v>
      </c>
      <c r="F36" s="323">
        <f t="shared" si="9"/>
        <v>2.5</v>
      </c>
      <c r="G36" s="323">
        <f t="shared" si="9"/>
        <v>2.5</v>
      </c>
      <c r="H36" s="323">
        <f t="shared" si="9"/>
        <v>2.5</v>
      </c>
      <c r="I36" s="323">
        <f t="shared" si="9"/>
        <v>2.5</v>
      </c>
      <c r="J36" s="323">
        <f t="shared" si="9"/>
        <v>2.5</v>
      </c>
      <c r="K36" s="323">
        <f t="shared" si="9"/>
        <v>2.5</v>
      </c>
      <c r="L36" s="323">
        <f t="shared" si="9"/>
        <v>2.5</v>
      </c>
      <c r="M36" s="323">
        <f t="shared" si="9"/>
        <v>2.5</v>
      </c>
      <c r="N36" s="323">
        <f t="shared" si="9"/>
        <v>2.5</v>
      </c>
      <c r="O36" s="334"/>
      <c r="P36" s="214"/>
      <c r="Q36" s="208"/>
      <c r="R36" s="208"/>
      <c r="S36" s="208"/>
      <c r="T36" s="208"/>
      <c r="U36" s="208"/>
      <c r="V36" s="208"/>
      <c r="W36" s="208"/>
      <c r="X36" s="208"/>
      <c r="Y36" s="208"/>
      <c r="Z36" s="208"/>
      <c r="AA36" s="208"/>
      <c r="AB36" s="208"/>
      <c r="AC36" s="208"/>
      <c r="AD36" s="208"/>
      <c r="AE36" s="208"/>
      <c r="AF36" s="208"/>
      <c r="AG36" s="208"/>
      <c r="AH36" s="208"/>
      <c r="AI36" s="208"/>
    </row>
    <row r="37" spans="1:35" s="345" customFormat="1" x14ac:dyDescent="0.2">
      <c r="A37" s="208"/>
      <c r="B37" s="305" t="s">
        <v>115</v>
      </c>
      <c r="C37" s="343">
        <f t="shared" ref="C37:N37" si="10">C35*C36</f>
        <v>47312.262722046937</v>
      </c>
      <c r="D37" s="343">
        <f t="shared" si="10"/>
        <v>35398.576032057106</v>
      </c>
      <c r="E37" s="343">
        <f t="shared" si="10"/>
        <v>33509.949010139957</v>
      </c>
      <c r="F37" s="343">
        <f t="shared" si="10"/>
        <v>24012.192123817367</v>
      </c>
      <c r="G37" s="343">
        <f t="shared" si="10"/>
        <v>14973.189112499313</v>
      </c>
      <c r="H37" s="343">
        <f t="shared" si="10"/>
        <v>8581.6880548357058</v>
      </c>
      <c r="I37" s="343">
        <f t="shared" si="10"/>
        <v>6299.5096561273194</v>
      </c>
      <c r="J37" s="343">
        <f t="shared" si="10"/>
        <v>6398.0807398446996</v>
      </c>
      <c r="K37" s="343">
        <f t="shared" si="10"/>
        <v>11041.730662805914</v>
      </c>
      <c r="L37" s="343">
        <f t="shared" si="10"/>
        <v>20986.660428864703</v>
      </c>
      <c r="M37" s="343">
        <f t="shared" si="10"/>
        <v>32500.600041441943</v>
      </c>
      <c r="N37" s="343">
        <f t="shared" si="10"/>
        <v>40978.749380915186</v>
      </c>
      <c r="O37" s="352">
        <f>SUM(C37:N37)</f>
        <v>281993.18796539609</v>
      </c>
      <c r="P37" s="214" t="s">
        <v>0</v>
      </c>
      <c r="Q37" s="353"/>
      <c r="R37" s="349"/>
      <c r="S37" s="208"/>
      <c r="T37" s="208"/>
      <c r="U37" s="208"/>
      <c r="V37" s="208"/>
      <c r="W37" s="208"/>
      <c r="X37" s="208"/>
      <c r="Y37" s="208"/>
      <c r="Z37" s="208"/>
      <c r="AA37" s="208"/>
      <c r="AB37" s="208"/>
      <c r="AC37" s="208"/>
      <c r="AD37" s="208"/>
      <c r="AE37" s="208"/>
      <c r="AF37" s="208"/>
      <c r="AG37" s="208"/>
      <c r="AH37" s="208"/>
      <c r="AI37" s="208"/>
    </row>
    <row r="38" spans="1:35" x14ac:dyDescent="0.2">
      <c r="B38" s="305"/>
      <c r="C38" s="323"/>
      <c r="D38" s="323"/>
      <c r="E38" s="323"/>
      <c r="F38" s="323"/>
      <c r="G38" s="323"/>
      <c r="H38" s="323"/>
      <c r="I38" s="323"/>
      <c r="J38" s="323"/>
      <c r="K38" s="323"/>
      <c r="L38" s="323"/>
      <c r="M38" s="323"/>
      <c r="N38" s="323"/>
      <c r="O38" s="323"/>
      <c r="P38" s="214"/>
    </row>
    <row r="39" spans="1:35" x14ac:dyDescent="0.2">
      <c r="B39" s="339" t="s">
        <v>105</v>
      </c>
      <c r="C39" s="340"/>
      <c r="D39" s="340"/>
      <c r="E39" s="340"/>
      <c r="F39" s="340"/>
      <c r="G39" s="340"/>
      <c r="H39" s="340"/>
      <c r="I39" s="340"/>
      <c r="J39" s="340"/>
      <c r="K39" s="340"/>
      <c r="L39" s="340"/>
      <c r="M39" s="340"/>
      <c r="N39" s="340"/>
      <c r="O39" s="340"/>
      <c r="P39" s="214"/>
    </row>
    <row r="40" spans="1:35" x14ac:dyDescent="0.2">
      <c r="B40" s="354" t="s">
        <v>62</v>
      </c>
      <c r="C40" s="334">
        <f>0.48*Gegevensinvoer!C14</f>
        <v>1045.3728000000001</v>
      </c>
      <c r="D40" s="323"/>
      <c r="E40" s="323"/>
      <c r="F40" s="323"/>
      <c r="G40" s="323"/>
      <c r="H40" s="323"/>
      <c r="I40" s="323"/>
      <c r="J40" s="323"/>
      <c r="K40" s="323"/>
      <c r="L40" s="323"/>
      <c r="M40" s="323"/>
      <c r="N40" s="323"/>
      <c r="O40" s="323"/>
      <c r="P40" s="214"/>
      <c r="Q40" s="292"/>
    </row>
    <row r="41" spans="1:35" x14ac:dyDescent="0.2">
      <c r="B41" s="354" t="s">
        <v>29</v>
      </c>
      <c r="C41" s="355">
        <f>Parameters!B43/(3.6*(Parameters!B45+Parameters!B58))</f>
        <v>5.8919921099549155</v>
      </c>
      <c r="D41" s="323" t="s">
        <v>59</v>
      </c>
      <c r="E41" s="323"/>
      <c r="F41" s="323"/>
      <c r="G41" s="355"/>
      <c r="H41" s="323"/>
      <c r="I41" s="323"/>
      <c r="J41" s="323"/>
      <c r="K41" s="323"/>
      <c r="L41" s="323"/>
      <c r="M41" s="323"/>
      <c r="N41" s="323"/>
      <c r="O41" s="323"/>
      <c r="P41" s="214"/>
    </row>
    <row r="42" spans="1:35" x14ac:dyDescent="0.2">
      <c r="B42" s="354" t="s">
        <v>30</v>
      </c>
      <c r="C42" s="355">
        <f>Parameters!B83+$C$41/Parameters!B84</f>
        <v>1.5659710811142971</v>
      </c>
      <c r="D42" s="323" t="s">
        <v>68</v>
      </c>
      <c r="E42" s="323"/>
      <c r="F42" s="323"/>
      <c r="G42" s="355"/>
      <c r="H42" s="323"/>
      <c r="I42" s="323"/>
      <c r="J42" s="323"/>
      <c r="K42" s="323"/>
      <c r="L42" s="323"/>
      <c r="M42" s="323"/>
      <c r="N42" s="323"/>
      <c r="O42" s="323"/>
      <c r="P42" s="214"/>
    </row>
    <row r="43" spans="1:35" ht="14.25" x14ac:dyDescent="0.25">
      <c r="B43" s="354" t="s">
        <v>487</v>
      </c>
      <c r="C43" s="355">
        <f>IF(Parameters!B89&gt;0,Parameters!B89,1/(1+Parameters!B86+Parameters!B87/Parameters!B88))</f>
        <v>0.84</v>
      </c>
      <c r="D43" s="323"/>
      <c r="E43" s="323"/>
      <c r="F43" s="323"/>
      <c r="G43" s="355"/>
      <c r="H43" s="323"/>
      <c r="I43" s="323"/>
      <c r="J43" s="323"/>
      <c r="K43" s="323"/>
      <c r="L43" s="323"/>
      <c r="M43" s="323"/>
      <c r="N43" s="323"/>
      <c r="O43" s="323"/>
      <c r="P43" s="214"/>
    </row>
    <row r="44" spans="1:35" x14ac:dyDescent="0.2">
      <c r="B44" s="305"/>
      <c r="C44" s="323"/>
      <c r="D44" s="355"/>
      <c r="E44" s="323"/>
      <c r="F44" s="323"/>
      <c r="G44" s="323"/>
      <c r="H44" s="323"/>
      <c r="I44" s="323"/>
      <c r="J44" s="323"/>
      <c r="K44" s="323"/>
      <c r="L44" s="323"/>
      <c r="M44" s="323"/>
      <c r="N44" s="323"/>
      <c r="O44" s="323"/>
      <c r="P44" s="214"/>
    </row>
    <row r="45" spans="1:35" x14ac:dyDescent="0.2">
      <c r="B45" s="356" t="s">
        <v>16</v>
      </c>
      <c r="C45" s="357">
        <f>Parameters!$B$45*(Parameters!B10-(Parameters!B7+2))*Parameters!B6</f>
        <v>41039.846886004794</v>
      </c>
      <c r="D45" s="357">
        <f>Parameters!$B$45*(Parameters!C10-(Parameters!C7+2))*Parameters!C6</f>
        <v>35610.508678903767</v>
      </c>
      <c r="E45" s="357">
        <f>Parameters!$B$45*(Parameters!D10-(Parameters!D7+2))*Parameters!D6</f>
        <v>34814.701571835525</v>
      </c>
      <c r="F45" s="357">
        <f>Parameters!$B$45*(Parameters!E10-(Parameters!E7+2))*Parameters!E6</f>
        <v>26328.571579640626</v>
      </c>
      <c r="G45" s="357">
        <f>Parameters!$B$45*(Parameters!F10-(Parameters!F7+2))*Parameters!F6</f>
        <v>17753.1921922605</v>
      </c>
      <c r="H45" s="357">
        <f>Parameters!$B$45*(Parameters!G10-(Parameters!G7+2))*Parameters!G6</f>
        <v>10709.927422226696</v>
      </c>
      <c r="I45" s="357">
        <f>Parameters!$B$45*(Parameters!H10-(Parameters!H7+2))*Parameters!H6</f>
        <v>7839.0718771020356</v>
      </c>
      <c r="J45" s="357">
        <f>Parameters!$B$45*(Parameters!I10-(Parameters!I7+2))*Parameters!I6</f>
        <v>7839.0718771020356</v>
      </c>
      <c r="K45" s="357">
        <f>Parameters!$B$45*(Parameters!J10-(Parameters!J7+2))*Parameters!J6</f>
        <v>12941.162301857259</v>
      </c>
      <c r="L45" s="357">
        <f>Parameters!$B$45*(Parameters!K10-(Parameters!K7+2))*Parameters!K6</f>
        <v>22594.971881058824</v>
      </c>
      <c r="M45" s="357">
        <f>Parameters!$B$45*(Parameters!L10-(Parameters!L7+2))*Parameters!L6</f>
        <v>32799.152730569251</v>
      </c>
      <c r="N45" s="357">
        <f>Parameters!$B$45*(Parameters!M10-(Parameters!M7+2))*Parameters!M6</f>
        <v>40348.16407331932</v>
      </c>
      <c r="O45" s="334">
        <f>SUM(C45:N45)</f>
        <v>290618.34307188063</v>
      </c>
      <c r="P45" s="214" t="s">
        <v>0</v>
      </c>
      <c r="Q45" s="358"/>
      <c r="R45" s="359"/>
      <c r="S45" s="359"/>
      <c r="T45" s="360"/>
      <c r="U45" s="361"/>
    </row>
    <row r="46" spans="1:35" x14ac:dyDescent="0.2">
      <c r="B46" s="356" t="s">
        <v>17</v>
      </c>
      <c r="C46" s="357">
        <f>C9</f>
        <v>41819.699967897606</v>
      </c>
      <c r="D46" s="357">
        <f t="shared" ref="D46:N46" si="11">D9</f>
        <v>37772.632229068804</v>
      </c>
      <c r="E46" s="357">
        <f t="shared" si="11"/>
        <v>41819.699967897606</v>
      </c>
      <c r="F46" s="357">
        <f t="shared" si="11"/>
        <v>40470.677388288008</v>
      </c>
      <c r="G46" s="357">
        <f t="shared" si="11"/>
        <v>41819.699967897606</v>
      </c>
      <c r="H46" s="357">
        <f t="shared" si="11"/>
        <v>27751.32163768321</v>
      </c>
      <c r="I46" s="357">
        <f t="shared" si="11"/>
        <v>20312.425698693114</v>
      </c>
      <c r="J46" s="357">
        <f t="shared" si="11"/>
        <v>20312.425698693114</v>
      </c>
      <c r="K46" s="357">
        <f t="shared" si="11"/>
        <v>33532.846978867208</v>
      </c>
      <c r="L46" s="357">
        <f t="shared" si="11"/>
        <v>41819.699967897606</v>
      </c>
      <c r="M46" s="357">
        <f t="shared" si="11"/>
        <v>40470.677388288008</v>
      </c>
      <c r="N46" s="357">
        <f t="shared" si="11"/>
        <v>41819.699967897606</v>
      </c>
      <c r="O46" s="334">
        <f>SUM(C46:N46)</f>
        <v>429721.50685906952</v>
      </c>
      <c r="P46" s="214" t="s">
        <v>0</v>
      </c>
      <c r="Q46" s="313"/>
      <c r="U46" s="308"/>
    </row>
    <row r="47" spans="1:35" x14ac:dyDescent="0.2">
      <c r="B47" s="356" t="s">
        <v>18</v>
      </c>
      <c r="C47" s="362">
        <f>$C$48*Parameters!B6+C49</f>
        <v>23466.715377534245</v>
      </c>
      <c r="D47" s="362">
        <f>$C$48*Parameters!C6+D49</f>
        <v>21195.742921643836</v>
      </c>
      <c r="E47" s="362">
        <f>$C$48*Parameters!D6+E49</f>
        <v>23466.715377534245</v>
      </c>
      <c r="F47" s="362">
        <f>$C$48*Parameters!E6+F49</f>
        <v>22709.724558904109</v>
      </c>
      <c r="G47" s="362">
        <f>$C$48*Parameters!F6+G49</f>
        <v>23466.715377534245</v>
      </c>
      <c r="H47" s="362">
        <f>$C$48*Parameters!G6+H49</f>
        <v>22709.724558904109</v>
      </c>
      <c r="I47" s="362">
        <f>$C$48*Parameters!H6+I49</f>
        <v>23466.715377534245</v>
      </c>
      <c r="J47" s="362">
        <f>$C$48*Parameters!I6+J49</f>
        <v>23466.715377534245</v>
      </c>
      <c r="K47" s="362">
        <f>$C$48*Parameters!J6+K49</f>
        <v>22709.724558904109</v>
      </c>
      <c r="L47" s="362">
        <f>$C$48*Parameters!K6+L49</f>
        <v>23466.715377534245</v>
      </c>
      <c r="M47" s="362">
        <f>$C$48*Parameters!L6+M49</f>
        <v>22709.724558904109</v>
      </c>
      <c r="N47" s="362">
        <f>$C$48*Parameters!M6+N49</f>
        <v>23466.715377534245</v>
      </c>
      <c r="O47" s="334">
        <f>SUM(C47:N47)</f>
        <v>276301.64879999997</v>
      </c>
      <c r="P47" s="214" t="s">
        <v>0</v>
      </c>
      <c r="Q47" s="313"/>
      <c r="U47" s="212"/>
    </row>
    <row r="48" spans="1:35" x14ac:dyDescent="0.2">
      <c r="B48" s="356"/>
      <c r="C48" s="357">
        <f>(Gegevensinvoer!C16*Parameters!$B$34+Parameters!$D$34*Gegevensinvoer!C19+Gegevensinvoer!C20*Parameters!$E$34+Gegevensinvoer!C21*Parameters!$F$34+Gegevensinvoer!C17*Parameters!$B$37)</f>
        <v>7798.1678082191784</v>
      </c>
      <c r="D48" s="357"/>
      <c r="E48" s="357"/>
      <c r="F48" s="357"/>
      <c r="G48" s="357"/>
      <c r="H48" s="357"/>
      <c r="I48" s="357"/>
      <c r="J48" s="357"/>
      <c r="K48" s="357"/>
      <c r="L48" s="357"/>
      <c r="M48" s="357"/>
      <c r="N48" s="357"/>
      <c r="O48" s="334"/>
      <c r="P48" s="214"/>
      <c r="Q48" s="313"/>
      <c r="U48" s="212"/>
    </row>
    <row r="49" spans="2:37" x14ac:dyDescent="0.2">
      <c r="B49" s="305" t="s">
        <v>95</v>
      </c>
      <c r="C49" s="357">
        <f>IF(C15&gt;0,C15*Parameters!$B$14*3.6,C14*Parameters!$B$14*3.6)</f>
        <v>2580.1027200000003</v>
      </c>
      <c r="D49" s="357">
        <f>IF(D15&gt;0,D15*Parameters!$B$14*3.6,D14*Parameters!$B$14*3.6)</f>
        <v>2330.4153600000004</v>
      </c>
      <c r="E49" s="357">
        <f>IF(E15&gt;0,E15*Parameters!$B$14*3.6,E14*Parameters!$B$14*3.6)</f>
        <v>2580.1027200000003</v>
      </c>
      <c r="F49" s="357">
        <f>IF(F15&gt;0,F15*Parameters!$B$14*3.6,F14*Parameters!$B$14*3.6)</f>
        <v>2496.8736000000004</v>
      </c>
      <c r="G49" s="357">
        <f>IF(G15&gt;0,G15*Parameters!$B$14*3.6,G14*Parameters!$B$14*3.6)</f>
        <v>2580.1027200000003</v>
      </c>
      <c r="H49" s="357">
        <f>IF(H15&gt;0,H15*Parameters!$B$14*3.6,H14*Parameters!$B$14*3.6)</f>
        <v>2496.8736000000004</v>
      </c>
      <c r="I49" s="357">
        <f>IF(I15&gt;0,I15*Parameters!$B$14*3.6,I14*Parameters!$B$14*3.6)</f>
        <v>2580.1027200000003</v>
      </c>
      <c r="J49" s="357">
        <f>IF(J15&gt;0,J15*Parameters!$B$14*3.6,J14*Parameters!$B$14*3.6)</f>
        <v>2580.1027200000003</v>
      </c>
      <c r="K49" s="357">
        <f>IF(K15&gt;0,K15*Parameters!$B$14*3.6,K14*Parameters!$B$14*3.6)</f>
        <v>2496.8736000000004</v>
      </c>
      <c r="L49" s="357">
        <f>IF(L15&gt;0,L15*Parameters!$B$14*3.6,L14*Parameters!$B$14*3.6)</f>
        <v>2580.1027200000003</v>
      </c>
      <c r="M49" s="357">
        <f>IF(M15&gt;0,M15*Parameters!$B$14*3.6,M14*Parameters!$B$14*3.6)</f>
        <v>2496.8736000000004</v>
      </c>
      <c r="N49" s="357">
        <f>IF(N15&gt;0,N15*Parameters!$B$14*3.6,N14*Parameters!$B$14*3.6)</f>
        <v>2580.1027200000003</v>
      </c>
      <c r="O49" s="334">
        <f>SUM(C49:N49)</f>
        <v>30378.628799999999</v>
      </c>
      <c r="P49" s="214" t="s">
        <v>0</v>
      </c>
      <c r="Q49" s="313"/>
      <c r="U49" s="212"/>
    </row>
    <row r="50" spans="2:37" x14ac:dyDescent="0.2">
      <c r="B50" s="356" t="s">
        <v>19</v>
      </c>
      <c r="C50" s="357">
        <f>ResultatenEPB!C30</f>
        <v>1883.54267814286</v>
      </c>
      <c r="D50" s="357">
        <f>ResultatenEPB!D30</f>
        <v>3051.3075309297401</v>
      </c>
      <c r="E50" s="357">
        <f>ResultatenEPB!E30</f>
        <v>5261.5716162997796</v>
      </c>
      <c r="F50" s="357">
        <f>ResultatenEPB!F30</f>
        <v>7211.7898615649501</v>
      </c>
      <c r="G50" s="357">
        <f>ResultatenEPB!G30</f>
        <v>9331.8139080384699</v>
      </c>
      <c r="H50" s="357">
        <f>ResultatenEPB!H30</f>
        <v>9503.0244355720206</v>
      </c>
      <c r="I50" s="357">
        <f>ResultatenEPB!I30</f>
        <v>9348.9794603889604</v>
      </c>
      <c r="J50" s="357">
        <f>ResultatenEPB!J30</f>
        <v>8585.0386555600708</v>
      </c>
      <c r="K50" s="357">
        <f>ResultatenEPB!K30</f>
        <v>6750.8568461233099</v>
      </c>
      <c r="L50" s="357">
        <f>ResultatenEPB!L30</f>
        <v>4546.5475525030897</v>
      </c>
      <c r="M50" s="357">
        <f>ResultatenEPB!M30</f>
        <v>2365.1992282333699</v>
      </c>
      <c r="N50" s="357">
        <f>ResultatenEPB!N30</f>
        <v>1482.5550999700499</v>
      </c>
      <c r="O50" s="334">
        <f>SUM(C50:N50)</f>
        <v>69322.226873326668</v>
      </c>
      <c r="P50" s="214" t="s">
        <v>0</v>
      </c>
      <c r="Q50" s="313"/>
      <c r="T50" s="322"/>
      <c r="U50" s="344"/>
    </row>
    <row r="51" spans="2:37" ht="14.25" x14ac:dyDescent="0.25">
      <c r="B51" s="305" t="s">
        <v>488</v>
      </c>
      <c r="C51" s="355">
        <f>(C46+C45)/(C50+C48)</f>
        <v>8.5583582540111021</v>
      </c>
      <c r="D51" s="355">
        <f t="shared" ref="D51:N51" si="12">(D46+D45)/(D50+D47)</f>
        <v>3.0264770163079242</v>
      </c>
      <c r="E51" s="355">
        <f t="shared" si="12"/>
        <v>2.667559035322268</v>
      </c>
      <c r="F51" s="355">
        <f t="shared" si="12"/>
        <v>2.2324822209611099</v>
      </c>
      <c r="G51" s="355">
        <f t="shared" si="12"/>
        <v>1.8163281542737586</v>
      </c>
      <c r="H51" s="355">
        <f t="shared" si="12"/>
        <v>1.1939759958550968</v>
      </c>
      <c r="I51" s="355">
        <f t="shared" si="12"/>
        <v>0.85786687482424073</v>
      </c>
      <c r="J51" s="355">
        <f t="shared" si="12"/>
        <v>0.87831379046301039</v>
      </c>
      <c r="K51" s="355">
        <f t="shared" si="12"/>
        <v>1.5774980351471855</v>
      </c>
      <c r="L51" s="355">
        <f t="shared" si="12"/>
        <v>2.2994348073564663</v>
      </c>
      <c r="M51" s="355">
        <f t="shared" si="12"/>
        <v>2.9220360046095939</v>
      </c>
      <c r="N51" s="355">
        <f t="shared" si="12"/>
        <v>3.2933974608718213</v>
      </c>
      <c r="O51" s="334"/>
      <c r="P51" s="214"/>
      <c r="Q51" s="212"/>
    </row>
    <row r="52" spans="2:37" x14ac:dyDescent="0.2">
      <c r="B52" s="305" t="s">
        <v>20</v>
      </c>
      <c r="C52" s="355">
        <f>IF(C51&lt;2.5,(1-(C51^$C$42))/(1-(C51^($C$42+1))),1/C51)</f>
        <v>0.11684483990037732</v>
      </c>
      <c r="D52" s="355">
        <f t="shared" ref="D52:N52" si="13">IF(D51&lt;2.5,(1-(D51^$C$42))/(1-(D51^($C$42+1))),1/D51)</f>
        <v>0.33041717964867456</v>
      </c>
      <c r="E52" s="355">
        <f t="shared" si="13"/>
        <v>0.37487455263729147</v>
      </c>
      <c r="F52" s="355">
        <f t="shared" si="13"/>
        <v>0.36736146579144052</v>
      </c>
      <c r="G52" s="355">
        <f t="shared" si="13"/>
        <v>0.42656852078748392</v>
      </c>
      <c r="H52" s="355">
        <f t="shared" si="13"/>
        <v>0.55550708529957293</v>
      </c>
      <c r="I52" s="355">
        <f t="shared" si="13"/>
        <v>0.65624774770538208</v>
      </c>
      <c r="J52" s="355">
        <f t="shared" si="13"/>
        <v>0.64930678087858706</v>
      </c>
      <c r="K52" s="355">
        <f t="shared" si="13"/>
        <v>0.46908175478623693</v>
      </c>
      <c r="L52" s="355">
        <f t="shared" si="13"/>
        <v>0.35924391510151144</v>
      </c>
      <c r="M52" s="355">
        <f t="shared" si="13"/>
        <v>0.34222713150093698</v>
      </c>
      <c r="N52" s="355">
        <f t="shared" si="13"/>
        <v>0.30363781228375702</v>
      </c>
      <c r="O52" s="334"/>
      <c r="P52" s="214"/>
      <c r="Q52" s="212"/>
    </row>
    <row r="53" spans="2:37" x14ac:dyDescent="0.2">
      <c r="B53" s="356" t="s">
        <v>21</v>
      </c>
      <c r="C53" s="334">
        <f>Parameters!$B$81*Parameters!$B$82*((C50+C48)-C52*(C46+C45))</f>
        <v>0</v>
      </c>
      <c r="D53" s="334">
        <f>Parameters!$B$81*Parameters!$B$82*((D50+D47)-D52*(D46+D45))</f>
        <v>0</v>
      </c>
      <c r="E53" s="334">
        <f>Parameters!$B$81*Parameters!$B$82*((E50+E47)-E52*(E46+E45))</f>
        <v>0</v>
      </c>
      <c r="F53" s="334">
        <f>Parameters!$B$81*Parameters!$B$82*((F50+F47)-F52*(F46+F45))</f>
        <v>8880.3732696416482</v>
      </c>
      <c r="G53" s="334">
        <f>Parameters!$B$81*Parameters!$B$82*((G50+G47)-G52*(G46+G45))</f>
        <v>12187.904516339928</v>
      </c>
      <c r="H53" s="334">
        <f>Parameters!$B$81*Parameters!$B$82*((H50+H47)-H52*(H46+H45))</f>
        <v>17897.966843170652</v>
      </c>
      <c r="I53" s="334">
        <f>Parameters!$B$81*Parameters!$B$82*((I50+I47)-I52*(I46+I45))</f>
        <v>23663.207632802292</v>
      </c>
      <c r="J53" s="334">
        <f>Parameters!$B$81*Parameters!$B$82*((J50+J47)-J52*(J46+J45))</f>
        <v>22725.113012651644</v>
      </c>
      <c r="K53" s="334">
        <f>Parameters!$B$81*Parameters!$B$82*((K50+K47)-K52*(K46+K45))</f>
        <v>12639.778106460994</v>
      </c>
      <c r="L53" s="334">
        <f>Parameters!$B$81*Parameters!$B$82*((L50+L47)-L52*(L46+L45))</f>
        <v>8039.9286413145328</v>
      </c>
      <c r="M53" s="334">
        <f>Parameters!$B$81*Parameters!$B$82*((M50+M47)-M52*(M46+M45))</f>
        <v>0</v>
      </c>
      <c r="N53" s="334">
        <f>Parameters!$B$81*Parameters!$B$82*((N50+N47)-N52*(N46+N45))</f>
        <v>0</v>
      </c>
      <c r="O53" s="334">
        <f>SUM(C53:N53)</f>
        <v>106034.27202238169</v>
      </c>
      <c r="P53" s="214" t="s">
        <v>0</v>
      </c>
      <c r="Q53" s="212"/>
      <c r="S53" s="313"/>
      <c r="U53" s="313"/>
      <c r="V53" s="313"/>
      <c r="AJ53" s="345"/>
      <c r="AK53" s="345"/>
    </row>
    <row r="54" spans="2:37" x14ac:dyDescent="0.2">
      <c r="B54" s="356" t="s">
        <v>23</v>
      </c>
      <c r="C54" s="334">
        <f>C53*$C$43</f>
        <v>0</v>
      </c>
      <c r="D54" s="334">
        <f t="shared" ref="D54:N54" si="14">D53*$C$43</f>
        <v>0</v>
      </c>
      <c r="E54" s="334">
        <f t="shared" si="14"/>
        <v>0</v>
      </c>
      <c r="F54" s="334">
        <f t="shared" si="14"/>
        <v>7459.5135464989844</v>
      </c>
      <c r="G54" s="334">
        <f t="shared" si="14"/>
        <v>10237.839793725539</v>
      </c>
      <c r="H54" s="334">
        <f t="shared" si="14"/>
        <v>15034.292148263346</v>
      </c>
      <c r="I54" s="334">
        <f t="shared" si="14"/>
        <v>19877.094411553924</v>
      </c>
      <c r="J54" s="334">
        <f t="shared" si="14"/>
        <v>19089.09493062738</v>
      </c>
      <c r="K54" s="334">
        <f t="shared" si="14"/>
        <v>10617.413609427234</v>
      </c>
      <c r="L54" s="334">
        <f t="shared" si="14"/>
        <v>6753.5400587042077</v>
      </c>
      <c r="M54" s="334">
        <f t="shared" si="14"/>
        <v>0</v>
      </c>
      <c r="N54" s="334">
        <f t="shared" si="14"/>
        <v>0</v>
      </c>
      <c r="O54" s="334">
        <f>SUM(C54:N54)</f>
        <v>89068.788498800626</v>
      </c>
      <c r="P54" s="214" t="s">
        <v>0</v>
      </c>
      <c r="Q54" s="308"/>
      <c r="AJ54" s="345"/>
      <c r="AK54" s="345"/>
    </row>
    <row r="55" spans="2:37" x14ac:dyDescent="0.2">
      <c r="B55" s="305" t="s">
        <v>24</v>
      </c>
      <c r="C55" s="355">
        <f>1/(1/(Parameters!$B$91*Parameters!$B$93)+Parameters!$B$92*Parameters!B6*Parameters!$B$94*Parameters!$B$95)</f>
        <v>5</v>
      </c>
      <c r="D55" s="355">
        <f>1/(1/(Parameters!$B$91*Parameters!$B$93)+Parameters!$B$92*Parameters!C6*Parameters!$B$94*Parameters!$B$95)</f>
        <v>5</v>
      </c>
      <c r="E55" s="355">
        <f>1/(1/(Parameters!$B$91*Parameters!$B$93)+Parameters!$B$92*Parameters!D6*Parameters!$B$94*Parameters!$B$95)</f>
        <v>5</v>
      </c>
      <c r="F55" s="355">
        <f>1/(1/(Parameters!$B$91*Parameters!$B$93)+Parameters!$B$92*Parameters!E6*Parameters!$B$94*Parameters!$B$95)</f>
        <v>5</v>
      </c>
      <c r="G55" s="355">
        <f>1/(1/(Parameters!$B$91*Parameters!$B$93)+Parameters!$B$92*Parameters!F6*Parameters!$B$94*Parameters!$B$95)</f>
        <v>5</v>
      </c>
      <c r="H55" s="355">
        <f>1/(1/(Parameters!$B$91*Parameters!$B$93)+Parameters!$B$92*Parameters!G6*Parameters!$B$94*Parameters!$B$95)</f>
        <v>5</v>
      </c>
      <c r="I55" s="355">
        <f>1/(1/(Parameters!$B$91*Parameters!$B$93)+Parameters!$B$92*Parameters!H6*Parameters!$B$94*Parameters!$B$95)</f>
        <v>5</v>
      </c>
      <c r="J55" s="355">
        <f>1/(1/(Parameters!$B$91*Parameters!$B$93)+Parameters!$B$92*Parameters!I6*Parameters!$B$94*Parameters!$B$95)</f>
        <v>5</v>
      </c>
      <c r="K55" s="355">
        <f>1/(1/(Parameters!$B$91*Parameters!$B$93)+Parameters!$B$92*Parameters!J6*Parameters!$B$94*Parameters!$B$95)</f>
        <v>5</v>
      </c>
      <c r="L55" s="355">
        <f>1/(1/(Parameters!$B$91*Parameters!$B$93)+Parameters!$B$92*Parameters!K6*Parameters!$B$94*Parameters!$B$95)</f>
        <v>5</v>
      </c>
      <c r="M55" s="355">
        <f>1/(1/(Parameters!$B$91*Parameters!$B$93)+Parameters!$B$92*Parameters!L6*Parameters!$B$94*Parameters!$B$95)</f>
        <v>5</v>
      </c>
      <c r="N55" s="355">
        <f>1/(1/(Parameters!$B$91*Parameters!$B$93)+Parameters!$B$92*Parameters!M6*Parameters!$B$94*Parameters!$B$95)</f>
        <v>5</v>
      </c>
      <c r="O55" s="334"/>
      <c r="P55" s="214"/>
      <c r="Q55" s="313"/>
      <c r="AJ55" s="345"/>
      <c r="AK55" s="345"/>
    </row>
    <row r="56" spans="2:37" x14ac:dyDescent="0.2">
      <c r="B56" s="356" t="s">
        <v>25</v>
      </c>
      <c r="C56" s="334">
        <f>C54/C55*Parameters!$B$98</f>
        <v>0</v>
      </c>
      <c r="D56" s="334">
        <f>D54/D55*Parameters!$B$98</f>
        <v>0</v>
      </c>
      <c r="E56" s="334">
        <f>E54/E55*Parameters!$B$98</f>
        <v>0</v>
      </c>
      <c r="F56" s="334">
        <f>F54/F55*Parameters!$B$98</f>
        <v>3729.7567732494922</v>
      </c>
      <c r="G56" s="334">
        <f>G54/G55*Parameters!$B$98</f>
        <v>5118.9198968627697</v>
      </c>
      <c r="H56" s="334">
        <f>H54/H55*Parameters!$B$98</f>
        <v>7517.1460741316732</v>
      </c>
      <c r="I56" s="334">
        <f>I54/I55*Parameters!$B$98</f>
        <v>9938.5472057769621</v>
      </c>
      <c r="J56" s="334">
        <f>J54/J55*Parameters!$B$98</f>
        <v>9544.5474653136898</v>
      </c>
      <c r="K56" s="334">
        <f>K54/K55*Parameters!$B$98</f>
        <v>5308.7068047136181</v>
      </c>
      <c r="L56" s="334">
        <f>L54/L55*Parameters!$B$98</f>
        <v>3376.7700293521038</v>
      </c>
      <c r="M56" s="334">
        <f>M54/M55*Parameters!$B$98</f>
        <v>0</v>
      </c>
      <c r="N56" s="334">
        <f>N54/N55*Parameters!$B$98</f>
        <v>0</v>
      </c>
      <c r="O56" s="334">
        <f>SUM(C56:N56)</f>
        <v>44534.394249400313</v>
      </c>
      <c r="P56" s="214" t="s">
        <v>0</v>
      </c>
      <c r="Q56" s="313"/>
      <c r="AJ56" s="345"/>
      <c r="AK56" s="345"/>
    </row>
    <row r="57" spans="2:37" x14ac:dyDescent="0.2">
      <c r="B57" s="305"/>
      <c r="C57" s="323"/>
      <c r="D57" s="323"/>
      <c r="E57" s="323"/>
      <c r="F57" s="323"/>
      <c r="G57" s="323"/>
      <c r="H57" s="323"/>
      <c r="I57" s="323"/>
      <c r="J57" s="323"/>
      <c r="K57" s="323"/>
      <c r="L57" s="323"/>
      <c r="M57" s="323"/>
      <c r="N57" s="323"/>
      <c r="O57" s="334"/>
      <c r="P57" s="214"/>
      <c r="Q57" s="313"/>
      <c r="AJ57" s="345"/>
      <c r="AK57" s="345"/>
    </row>
    <row r="58" spans="2:37" x14ac:dyDescent="0.2">
      <c r="B58" s="356" t="s">
        <v>198</v>
      </c>
      <c r="C58" s="334">
        <f>C56*2.5</f>
        <v>0</v>
      </c>
      <c r="D58" s="334">
        <f t="shared" ref="D58:N58" si="15">D56*2.5</f>
        <v>0</v>
      </c>
      <c r="E58" s="334">
        <f t="shared" si="15"/>
        <v>0</v>
      </c>
      <c r="F58" s="334">
        <f t="shared" si="15"/>
        <v>9324.3919331237303</v>
      </c>
      <c r="G58" s="334">
        <f t="shared" si="15"/>
        <v>12797.299742156923</v>
      </c>
      <c r="H58" s="334">
        <f t="shared" si="15"/>
        <v>18792.865185329181</v>
      </c>
      <c r="I58" s="334">
        <f t="shared" si="15"/>
        <v>24846.368014442407</v>
      </c>
      <c r="J58" s="334">
        <f t="shared" si="15"/>
        <v>23861.368663284225</v>
      </c>
      <c r="K58" s="334">
        <f t="shared" si="15"/>
        <v>13271.767011784046</v>
      </c>
      <c r="L58" s="334">
        <f t="shared" si="15"/>
        <v>8441.9250733802601</v>
      </c>
      <c r="M58" s="334">
        <f t="shared" si="15"/>
        <v>0</v>
      </c>
      <c r="N58" s="334">
        <f t="shared" si="15"/>
        <v>0</v>
      </c>
      <c r="O58" s="352">
        <f>SUM(C58:N58)</f>
        <v>111335.98562350078</v>
      </c>
      <c r="P58" s="214" t="s">
        <v>0</v>
      </c>
      <c r="Q58" s="313"/>
      <c r="AJ58" s="345"/>
      <c r="AK58" s="345"/>
    </row>
    <row r="59" spans="2:37" x14ac:dyDescent="0.2">
      <c r="B59" s="356"/>
      <c r="C59" s="334"/>
      <c r="D59" s="334"/>
      <c r="E59" s="334"/>
      <c r="F59" s="334"/>
      <c r="G59" s="334"/>
      <c r="H59" s="334"/>
      <c r="I59" s="334"/>
      <c r="J59" s="334"/>
      <c r="K59" s="334"/>
      <c r="L59" s="334"/>
      <c r="M59" s="334"/>
      <c r="N59" s="334"/>
      <c r="O59" s="343"/>
      <c r="P59" s="214"/>
      <c r="Q59" s="313"/>
      <c r="AJ59" s="345"/>
      <c r="AK59" s="345"/>
    </row>
    <row r="60" spans="2:37" x14ac:dyDescent="0.2">
      <c r="B60" s="339" t="s">
        <v>187</v>
      </c>
      <c r="C60" s="348"/>
      <c r="D60" s="348"/>
      <c r="E60" s="363"/>
      <c r="F60" s="348"/>
      <c r="G60" s="348"/>
      <c r="H60" s="348"/>
      <c r="I60" s="348"/>
      <c r="J60" s="348"/>
      <c r="K60" s="348"/>
      <c r="L60" s="348"/>
      <c r="M60" s="348"/>
      <c r="N60" s="348"/>
      <c r="O60" s="348"/>
      <c r="P60" s="214"/>
      <c r="Q60" s="313"/>
      <c r="AJ60" s="345"/>
      <c r="AK60" s="345"/>
    </row>
    <row r="61" spans="2:37" x14ac:dyDescent="0.2">
      <c r="B61" s="356" t="s">
        <v>178</v>
      </c>
      <c r="C61" s="323"/>
      <c r="D61" s="323"/>
      <c r="E61" s="323"/>
      <c r="F61" s="323"/>
      <c r="G61" s="323"/>
      <c r="H61" s="323"/>
      <c r="I61" s="323"/>
      <c r="J61" s="323"/>
      <c r="K61" s="323"/>
      <c r="L61" s="323"/>
      <c r="M61" s="323"/>
      <c r="N61" s="323"/>
      <c r="O61" s="323"/>
      <c r="P61" s="214"/>
      <c r="AJ61" s="345"/>
      <c r="AK61" s="345"/>
    </row>
    <row r="62" spans="2:37" x14ac:dyDescent="0.2">
      <c r="B62" s="350" t="s">
        <v>193</v>
      </c>
      <c r="C62" s="351">
        <f>C53/(C31+C53)</f>
        <v>0</v>
      </c>
      <c r="D62" s="351">
        <f t="shared" ref="D62:N62" si="16">D53/(D31+D53)</f>
        <v>0</v>
      </c>
      <c r="E62" s="351">
        <f t="shared" si="16"/>
        <v>0</v>
      </c>
      <c r="F62" s="351">
        <f t="shared" si="16"/>
        <v>0.19240336352060064</v>
      </c>
      <c r="G62" s="351">
        <f t="shared" si="16"/>
        <v>0.3439890244730659</v>
      </c>
      <c r="H62" s="351">
        <f t="shared" si="16"/>
        <v>0.57329460578827418</v>
      </c>
      <c r="I62" s="351">
        <f t="shared" si="16"/>
        <v>0.70758816563864191</v>
      </c>
      <c r="J62" s="351">
        <f t="shared" si="16"/>
        <v>0.69587303617744467</v>
      </c>
      <c r="K62" s="351">
        <f t="shared" si="16"/>
        <v>0.42443738194198538</v>
      </c>
      <c r="L62" s="351">
        <f t="shared" si="16"/>
        <v>0.19794032815209545</v>
      </c>
      <c r="M62" s="351">
        <f t="shared" si="16"/>
        <v>0</v>
      </c>
      <c r="N62" s="351">
        <f t="shared" si="16"/>
        <v>0</v>
      </c>
      <c r="O62" s="323"/>
      <c r="P62" s="214"/>
      <c r="AJ62" s="345"/>
      <c r="AK62" s="345"/>
    </row>
    <row r="63" spans="2:37" x14ac:dyDescent="0.2">
      <c r="B63" s="350" t="s">
        <v>194</v>
      </c>
      <c r="C63" s="334">
        <f>IF(C12&gt;0,(1-C62)*C12,(1-C62)*C11)</f>
        <v>895.86900000000003</v>
      </c>
      <c r="D63" s="334">
        <f t="shared" ref="D63:N63" si="17">IF(D12&gt;0,(1-D62)*D12,(1-D62)*D11)</f>
        <v>809.17200000000003</v>
      </c>
      <c r="E63" s="334">
        <f t="shared" si="17"/>
        <v>895.86900000000003</v>
      </c>
      <c r="F63" s="334">
        <f t="shared" si="17"/>
        <v>700.16205592854487</v>
      </c>
      <c r="G63" s="334">
        <f t="shared" si="17"/>
        <v>587.69989663433898</v>
      </c>
      <c r="H63" s="334">
        <f t="shared" si="17"/>
        <v>369.9407756197399</v>
      </c>
      <c r="I63" s="334">
        <f t="shared" si="17"/>
        <v>261.96269763747551</v>
      </c>
      <c r="J63" s="334">
        <f t="shared" si="17"/>
        <v>272.45791895274886</v>
      </c>
      <c r="K63" s="334">
        <f t="shared" si="17"/>
        <v>498.99552297775693</v>
      </c>
      <c r="L63" s="334">
        <f t="shared" si="17"/>
        <v>718.54039615871034</v>
      </c>
      <c r="M63" s="334">
        <f t="shared" si="17"/>
        <v>866.96999999999991</v>
      </c>
      <c r="N63" s="334">
        <f t="shared" si="17"/>
        <v>895.86900000000003</v>
      </c>
      <c r="O63" s="334">
        <f>SUM(C63:N63)</f>
        <v>7773.5082639093162</v>
      </c>
      <c r="P63" s="214" t="s">
        <v>99</v>
      </c>
      <c r="AJ63" s="345"/>
      <c r="AK63" s="345"/>
    </row>
    <row r="64" spans="2:37" x14ac:dyDescent="0.2">
      <c r="B64" s="350" t="s">
        <v>179</v>
      </c>
      <c r="C64" s="334">
        <f>IF(C15&gt;0,C62*C15,C62*C14)</f>
        <v>0</v>
      </c>
      <c r="D64" s="334">
        <f t="shared" ref="D64:N64" si="18">IF(D15&gt;0,D62*D15,D62*D14)</f>
        <v>0</v>
      </c>
      <c r="E64" s="334">
        <f t="shared" si="18"/>
        <v>0</v>
      </c>
      <c r="F64" s="334">
        <f t="shared" si="18"/>
        <v>166.80794407145513</v>
      </c>
      <c r="G64" s="334">
        <f t="shared" si="18"/>
        <v>308.1691033656611</v>
      </c>
      <c r="H64" s="334">
        <f t="shared" si="18"/>
        <v>497.02922438026002</v>
      </c>
      <c r="I64" s="334">
        <f t="shared" si="18"/>
        <v>633.90630236252446</v>
      </c>
      <c r="J64" s="334">
        <f t="shared" si="18"/>
        <v>623.41108104725117</v>
      </c>
      <c r="K64" s="334">
        <f t="shared" si="18"/>
        <v>367.97447702224304</v>
      </c>
      <c r="L64" s="334">
        <f t="shared" si="18"/>
        <v>177.32860384128961</v>
      </c>
      <c r="M64" s="334">
        <f t="shared" si="18"/>
        <v>0</v>
      </c>
      <c r="N64" s="334">
        <f t="shared" si="18"/>
        <v>0</v>
      </c>
      <c r="O64" s="334">
        <f>SUM(C64:N64)</f>
        <v>2774.626736090685</v>
      </c>
      <c r="P64" s="214" t="s">
        <v>99</v>
      </c>
      <c r="AJ64" s="345"/>
      <c r="AK64" s="345"/>
    </row>
    <row r="65" spans="2:37" x14ac:dyDescent="0.2">
      <c r="B65" s="350" t="s">
        <v>199</v>
      </c>
      <c r="C65" s="334">
        <f>SUM(C63:C64)</f>
        <v>895.86900000000003</v>
      </c>
      <c r="D65" s="334">
        <f t="shared" ref="D65:N65" si="19">SUM(D63:D64)</f>
        <v>809.17200000000003</v>
      </c>
      <c r="E65" s="334">
        <f t="shared" si="19"/>
        <v>895.86900000000003</v>
      </c>
      <c r="F65" s="334">
        <f t="shared" si="19"/>
        <v>866.97</v>
      </c>
      <c r="G65" s="334">
        <f t="shared" si="19"/>
        <v>895.86900000000014</v>
      </c>
      <c r="H65" s="334">
        <f t="shared" si="19"/>
        <v>866.96999999999991</v>
      </c>
      <c r="I65" s="334">
        <f t="shared" si="19"/>
        <v>895.86899999999991</v>
      </c>
      <c r="J65" s="334">
        <f t="shared" si="19"/>
        <v>895.86900000000003</v>
      </c>
      <c r="K65" s="334">
        <f t="shared" si="19"/>
        <v>866.97</v>
      </c>
      <c r="L65" s="334">
        <f t="shared" si="19"/>
        <v>895.86899999999991</v>
      </c>
      <c r="M65" s="334">
        <f t="shared" si="19"/>
        <v>866.96999999999991</v>
      </c>
      <c r="N65" s="334">
        <f t="shared" si="19"/>
        <v>895.86900000000003</v>
      </c>
      <c r="O65" s="334">
        <f>SUM(C65:N65)</f>
        <v>10548.135</v>
      </c>
      <c r="P65" s="214" t="s">
        <v>99</v>
      </c>
      <c r="AJ65" s="345"/>
      <c r="AK65" s="345"/>
    </row>
    <row r="66" spans="2:37" x14ac:dyDescent="0.2">
      <c r="B66" s="305"/>
      <c r="C66" s="323"/>
      <c r="D66" s="323"/>
      <c r="E66" s="323"/>
      <c r="F66" s="323"/>
      <c r="G66" s="323"/>
      <c r="H66" s="323"/>
      <c r="I66" s="323"/>
      <c r="J66" s="323"/>
      <c r="K66" s="323"/>
      <c r="L66" s="323"/>
      <c r="M66" s="323"/>
      <c r="N66" s="323"/>
      <c r="O66" s="334"/>
      <c r="P66" s="214"/>
      <c r="V66" s="349"/>
      <c r="AJ66" s="345"/>
      <c r="AK66" s="345"/>
    </row>
    <row r="67" spans="2:37" x14ac:dyDescent="0.2">
      <c r="B67" s="356" t="s">
        <v>190</v>
      </c>
      <c r="C67" s="364">
        <f>0.07*Gegevensinvoer!$C$17*(Parameters!$C$117+Parameters!$C$118)*Parameters!B6</f>
        <v>223.52319360000001</v>
      </c>
      <c r="D67" s="364">
        <f>0.07*Gegevensinvoer!$C$17*(Parameters!$C$117+Parameters!$C$118)*Parameters!C6</f>
        <v>201.89191680000002</v>
      </c>
      <c r="E67" s="364">
        <f>0.07*Gegevensinvoer!$C$17*(Parameters!$C$117+Parameters!$C$118)*Parameters!D6</f>
        <v>223.52319360000001</v>
      </c>
      <c r="F67" s="364">
        <f>0.07*Gegevensinvoer!$C$17*(Parameters!$C$117+Parameters!$C$118)*Parameters!E6</f>
        <v>216.31276800000003</v>
      </c>
      <c r="G67" s="364">
        <f>0.07*Gegevensinvoer!$C$17*(Parameters!$C$117+Parameters!$C$118)*Parameters!F6</f>
        <v>223.52319360000001</v>
      </c>
      <c r="H67" s="364">
        <f>0.07*Gegevensinvoer!$C$17*(Parameters!$C$117+Parameters!$C$118)*Parameters!G6</f>
        <v>216.31276800000003</v>
      </c>
      <c r="I67" s="364">
        <f>0.07*Gegevensinvoer!$C$17*(Parameters!$C$117+Parameters!$C$118)*Parameters!H6</f>
        <v>223.52319360000001</v>
      </c>
      <c r="J67" s="364">
        <f>0.07*Gegevensinvoer!$C$17*(Parameters!$C$117+Parameters!$C$118)*Parameters!I6</f>
        <v>223.52319360000001</v>
      </c>
      <c r="K67" s="364">
        <f>0.07*Gegevensinvoer!$C$17*(Parameters!$C$117+Parameters!$C$118)*Parameters!J6</f>
        <v>216.31276800000003</v>
      </c>
      <c r="L67" s="364">
        <f>0.07*Gegevensinvoer!$C$17*(Parameters!$C$117+Parameters!$C$118)*Parameters!K6</f>
        <v>223.52319360000001</v>
      </c>
      <c r="M67" s="364">
        <f>0.07*Gegevensinvoer!$C$17*(Parameters!$C$117+Parameters!$C$118)*Parameters!L6</f>
        <v>216.31276800000003</v>
      </c>
      <c r="N67" s="364">
        <f>0.07*Gegevensinvoer!$C$17*(Parameters!$C$117+Parameters!$C$118)*Parameters!M6</f>
        <v>223.52319360000001</v>
      </c>
      <c r="O67" s="334">
        <f>SUM(C67:N67)</f>
        <v>2631.8053440000003</v>
      </c>
      <c r="P67" s="214" t="s">
        <v>99</v>
      </c>
      <c r="T67" s="313"/>
      <c r="V67" s="349"/>
      <c r="W67" s="313"/>
      <c r="AJ67" s="345"/>
      <c r="AK67" s="345"/>
    </row>
    <row r="68" spans="2:37" x14ac:dyDescent="0.2">
      <c r="B68" s="305"/>
      <c r="C68" s="323"/>
      <c r="D68" s="323"/>
      <c r="E68" s="323"/>
      <c r="F68" s="323"/>
      <c r="G68" s="323"/>
      <c r="H68" s="323"/>
      <c r="I68" s="323"/>
      <c r="J68" s="323"/>
      <c r="K68" s="323"/>
      <c r="L68" s="323"/>
      <c r="M68" s="323"/>
      <c r="N68" s="323"/>
      <c r="O68" s="334"/>
      <c r="P68" s="214"/>
      <c r="V68" s="349"/>
      <c r="AJ68" s="345"/>
      <c r="AK68" s="345"/>
    </row>
    <row r="69" spans="2:37" x14ac:dyDescent="0.2">
      <c r="B69" s="305" t="s">
        <v>217</v>
      </c>
      <c r="C69" s="334">
        <f>(C67+C65)*3.6</f>
        <v>4029.8118969600005</v>
      </c>
      <c r="D69" s="334">
        <f t="shared" ref="D69:M69" si="20">(D67+D65)*3.6</f>
        <v>3639.8301004800001</v>
      </c>
      <c r="E69" s="334">
        <f t="shared" si="20"/>
        <v>4029.8118969600005</v>
      </c>
      <c r="F69" s="334">
        <f t="shared" si="20"/>
        <v>3899.8179648</v>
      </c>
      <c r="G69" s="334">
        <f t="shared" si="20"/>
        <v>4029.8118969600005</v>
      </c>
      <c r="H69" s="334">
        <f t="shared" si="20"/>
        <v>3899.8179648</v>
      </c>
      <c r="I69" s="334">
        <f t="shared" si="20"/>
        <v>4029.81189696</v>
      </c>
      <c r="J69" s="334">
        <f t="shared" si="20"/>
        <v>4029.8118969600005</v>
      </c>
      <c r="K69" s="334">
        <f t="shared" si="20"/>
        <v>3899.8179648</v>
      </c>
      <c r="L69" s="334">
        <f t="shared" si="20"/>
        <v>4029.81189696</v>
      </c>
      <c r="M69" s="334">
        <f t="shared" si="20"/>
        <v>3899.8179648</v>
      </c>
      <c r="N69" s="334">
        <f>(N67+N65)*3.6</f>
        <v>4029.8118969600005</v>
      </c>
      <c r="O69" s="334">
        <f>SUM(C69:N69)</f>
        <v>47447.785238400007</v>
      </c>
      <c r="P69" s="214" t="s">
        <v>0</v>
      </c>
      <c r="V69" s="349"/>
      <c r="AJ69" s="345"/>
      <c r="AK69" s="345"/>
    </row>
    <row r="70" spans="2:37" x14ac:dyDescent="0.2">
      <c r="B70" s="305" t="s">
        <v>216</v>
      </c>
      <c r="C70" s="334">
        <f>C69*2.5</f>
        <v>10074.529742400002</v>
      </c>
      <c r="D70" s="334">
        <f t="shared" ref="D70:M70" si="21">D69*2.5</f>
        <v>9099.5752511999999</v>
      </c>
      <c r="E70" s="334">
        <f t="shared" si="21"/>
        <v>10074.529742400002</v>
      </c>
      <c r="F70" s="334">
        <f t="shared" si="21"/>
        <v>9749.5449119999994</v>
      </c>
      <c r="G70" s="334">
        <f t="shared" si="21"/>
        <v>10074.529742400002</v>
      </c>
      <c r="H70" s="334">
        <f t="shared" si="21"/>
        <v>9749.5449119999994</v>
      </c>
      <c r="I70" s="334">
        <f t="shared" si="21"/>
        <v>10074.5297424</v>
      </c>
      <c r="J70" s="334">
        <f t="shared" si="21"/>
        <v>10074.529742400002</v>
      </c>
      <c r="K70" s="334">
        <f t="shared" si="21"/>
        <v>9749.5449119999994</v>
      </c>
      <c r="L70" s="334">
        <f t="shared" si="21"/>
        <v>10074.5297424</v>
      </c>
      <c r="M70" s="334">
        <f t="shared" si="21"/>
        <v>9749.5449119999994</v>
      </c>
      <c r="N70" s="334">
        <f>N69*2.5</f>
        <v>10074.529742400002</v>
      </c>
      <c r="O70" s="365">
        <f>SUM(C70:N70)</f>
        <v>118619.46309600001</v>
      </c>
      <c r="P70" s="214" t="s">
        <v>0</v>
      </c>
      <c r="Q70" s="313"/>
      <c r="V70" s="349"/>
      <c r="AJ70" s="345"/>
      <c r="AK70" s="345"/>
    </row>
    <row r="71" spans="2:37" x14ac:dyDescent="0.2">
      <c r="B71" s="356"/>
      <c r="C71" s="364"/>
      <c r="D71" s="364"/>
      <c r="E71" s="364"/>
      <c r="F71" s="364"/>
      <c r="G71" s="364"/>
      <c r="H71" s="364"/>
      <c r="I71" s="364"/>
      <c r="J71" s="364"/>
      <c r="K71" s="364"/>
      <c r="L71" s="364"/>
      <c r="M71" s="364"/>
      <c r="N71" s="364"/>
      <c r="O71" s="334"/>
      <c r="P71" s="214"/>
      <c r="Q71" s="313"/>
      <c r="V71" s="349"/>
      <c r="AJ71" s="345"/>
      <c r="AK71" s="345"/>
    </row>
    <row r="72" spans="2:37" x14ac:dyDescent="0.2">
      <c r="B72" s="356"/>
      <c r="C72" s="364"/>
      <c r="D72" s="364"/>
      <c r="E72" s="364"/>
      <c r="F72" s="364"/>
      <c r="G72" s="364"/>
      <c r="H72" s="364"/>
      <c r="I72" s="364"/>
      <c r="J72" s="364"/>
      <c r="K72" s="364"/>
      <c r="L72" s="364"/>
      <c r="M72" s="364"/>
      <c r="N72" s="364"/>
      <c r="O72" s="334"/>
      <c r="P72" s="214"/>
      <c r="Q72" s="313"/>
      <c r="V72" s="349"/>
      <c r="AJ72" s="345"/>
      <c r="AK72" s="345"/>
    </row>
    <row r="73" spans="2:37" x14ac:dyDescent="0.2">
      <c r="B73" s="356" t="s">
        <v>408</v>
      </c>
      <c r="C73" s="364"/>
      <c r="D73" s="364"/>
      <c r="E73" s="364"/>
      <c r="F73" s="364"/>
      <c r="G73" s="364"/>
      <c r="H73" s="364"/>
      <c r="I73" s="364"/>
      <c r="J73" s="364"/>
      <c r="K73" s="364"/>
      <c r="L73" s="364"/>
      <c r="M73" s="364"/>
      <c r="N73" s="364"/>
      <c r="O73" s="334"/>
      <c r="P73" s="214"/>
      <c r="Q73" s="313"/>
      <c r="V73" s="349"/>
      <c r="AJ73" s="345"/>
      <c r="AK73" s="345"/>
    </row>
    <row r="74" spans="2:37" x14ac:dyDescent="0.2">
      <c r="B74" s="350" t="s">
        <v>409</v>
      </c>
      <c r="C74" s="212">
        <v>0.38</v>
      </c>
      <c r="D74" s="212">
        <v>0.37</v>
      </c>
      <c r="E74" s="212">
        <v>0.23</v>
      </c>
      <c r="F74" s="212">
        <v>0.08</v>
      </c>
      <c r="G74" s="212">
        <v>0.03</v>
      </c>
      <c r="H74" s="212">
        <v>0</v>
      </c>
      <c r="I74" s="212">
        <v>0</v>
      </c>
      <c r="J74" s="212">
        <v>0</v>
      </c>
      <c r="K74" s="212">
        <v>0</v>
      </c>
      <c r="L74" s="212">
        <v>0.2</v>
      </c>
      <c r="M74" s="212">
        <v>0.25</v>
      </c>
      <c r="N74" s="212">
        <v>0.36</v>
      </c>
      <c r="O74" s="334"/>
      <c r="P74" s="214"/>
      <c r="Q74" s="313"/>
      <c r="V74" s="349"/>
      <c r="AJ74" s="345"/>
      <c r="AK74" s="345"/>
    </row>
    <row r="75" spans="2:37" x14ac:dyDescent="0.2">
      <c r="B75" s="350" t="s">
        <v>410</v>
      </c>
      <c r="C75" s="308">
        <f>2.5*IF(Gegevensinvoer!$C$58=1,0.4,1)*C74*Gegevensinvoer!$C$53</f>
        <v>2095.6999999999998</v>
      </c>
      <c r="D75" s="308">
        <f>2.5*IF(Gegevensinvoer!$C$58=1,0.4,1)*D74*Gegevensinvoer!$C$53</f>
        <v>2040.55</v>
      </c>
      <c r="E75" s="308">
        <f>2.5*IF(Gegevensinvoer!$C$58=1,0.4,1)*E74*Gegevensinvoer!$C$53</f>
        <v>1268.45</v>
      </c>
      <c r="F75" s="308">
        <f>2.5*IF(Gegevensinvoer!$C$58=1,0.4,1)*F74*Gegevensinvoer!$C$53</f>
        <v>441.2</v>
      </c>
      <c r="G75" s="308">
        <f>2.5*IF(Gegevensinvoer!$C$58=1,0.4,1)*G74*Gegevensinvoer!$C$53</f>
        <v>165.45</v>
      </c>
      <c r="H75" s="308">
        <f>2.5*IF(Gegevensinvoer!$C$58=1,0.4,1)*H74*Gegevensinvoer!$C$53</f>
        <v>0</v>
      </c>
      <c r="I75" s="308">
        <f>2.5*IF(Gegevensinvoer!$C$58=1,0.4,1)*I74*Gegevensinvoer!$C$53</f>
        <v>0</v>
      </c>
      <c r="J75" s="308">
        <f>2.5*IF(Gegevensinvoer!$C$58=1,0.4,1)*J74*Gegevensinvoer!$C$53</f>
        <v>0</v>
      </c>
      <c r="K75" s="308">
        <f>2.5*IF(Gegevensinvoer!$C$58=1,0.4,1)*K74*Gegevensinvoer!$C$53</f>
        <v>0</v>
      </c>
      <c r="L75" s="308">
        <f>2.5*IF(Gegevensinvoer!$C$58=1,0.4,1)*L74*Gegevensinvoer!$C$53</f>
        <v>1103</v>
      </c>
      <c r="M75" s="308">
        <f>2.5*IF(Gegevensinvoer!$C$58=1,0.4,1)*M74*Gegevensinvoer!$C$53</f>
        <v>1378.75</v>
      </c>
      <c r="N75" s="308">
        <f>2.5*IF(Gegevensinvoer!$C$58=1,0.4,1)*N74*Gegevensinvoer!$C$53</f>
        <v>1985.3999999999999</v>
      </c>
      <c r="O75" s="334">
        <f>SUM(C75:N75)</f>
        <v>10478.499999999998</v>
      </c>
      <c r="P75" s="214" t="s">
        <v>0</v>
      </c>
      <c r="Q75" s="313"/>
      <c r="R75" s="349"/>
      <c r="V75" s="349"/>
      <c r="AJ75" s="345"/>
      <c r="AK75" s="345"/>
    </row>
    <row r="76" spans="2:37" x14ac:dyDescent="0.2">
      <c r="B76" s="350" t="s">
        <v>411</v>
      </c>
      <c r="C76" s="362">
        <f>C75*Gegevensinvoer!$C$57</f>
        <v>1571.7749999999999</v>
      </c>
      <c r="D76" s="362">
        <f>D75*Gegevensinvoer!$C$57</f>
        <v>1530.4124999999999</v>
      </c>
      <c r="E76" s="362">
        <f>E75*Gegevensinvoer!$C$57</f>
        <v>951.33750000000009</v>
      </c>
      <c r="F76" s="362">
        <f>F75*Gegevensinvoer!$C$57</f>
        <v>330.9</v>
      </c>
      <c r="G76" s="362">
        <f>G75*Gegevensinvoer!$C$57</f>
        <v>124.08749999999999</v>
      </c>
      <c r="H76" s="362">
        <f>H75*Gegevensinvoer!$C$57</f>
        <v>0</v>
      </c>
      <c r="I76" s="362">
        <f>I75*Gegevensinvoer!$C$57</f>
        <v>0</v>
      </c>
      <c r="J76" s="362">
        <f>J75*Gegevensinvoer!$C$57</f>
        <v>0</v>
      </c>
      <c r="K76" s="362">
        <f>K75*Gegevensinvoer!$C$57</f>
        <v>0</v>
      </c>
      <c r="L76" s="362">
        <f>L75*Gegevensinvoer!$C$57</f>
        <v>827.25</v>
      </c>
      <c r="M76" s="362">
        <f>M75*Gegevensinvoer!$C$57</f>
        <v>1034.0625</v>
      </c>
      <c r="N76" s="362">
        <f>N75*Gegevensinvoer!$C$57</f>
        <v>1489.05</v>
      </c>
      <c r="O76" s="334">
        <f>SUM(C76:N76)</f>
        <v>7858.875</v>
      </c>
      <c r="P76" s="214" t="s">
        <v>0</v>
      </c>
      <c r="Q76" s="313"/>
      <c r="R76" s="349"/>
      <c r="V76" s="349"/>
      <c r="AJ76" s="345"/>
      <c r="AK76" s="345"/>
    </row>
    <row r="77" spans="2:37" x14ac:dyDescent="0.2">
      <c r="B77" s="350" t="s">
        <v>197</v>
      </c>
      <c r="C77" s="362">
        <f>C76*Gegevensinvoer!$C$59</f>
        <v>1571.7749999999999</v>
      </c>
      <c r="D77" s="362">
        <f>D76*Gegevensinvoer!$C$59</f>
        <v>1530.4124999999999</v>
      </c>
      <c r="E77" s="362">
        <f>E76*Gegevensinvoer!$C$59</f>
        <v>951.33750000000009</v>
      </c>
      <c r="F77" s="362">
        <f>F76*Gegevensinvoer!$C$59</f>
        <v>330.9</v>
      </c>
      <c r="G77" s="362">
        <f>G76*Gegevensinvoer!$C$59</f>
        <v>124.08749999999999</v>
      </c>
      <c r="H77" s="362">
        <f>H76*Gegevensinvoer!$C$59</f>
        <v>0</v>
      </c>
      <c r="I77" s="362">
        <f>I76*Gegevensinvoer!$C$59</f>
        <v>0</v>
      </c>
      <c r="J77" s="362">
        <f>J76*Gegevensinvoer!$C$59</f>
        <v>0</v>
      </c>
      <c r="K77" s="362">
        <f>K76*Gegevensinvoer!$C$59</f>
        <v>0</v>
      </c>
      <c r="L77" s="362">
        <f>L76*Gegevensinvoer!$C$59</f>
        <v>827.25</v>
      </c>
      <c r="M77" s="362">
        <f>M76*Gegevensinvoer!$C$59</f>
        <v>1034.0625</v>
      </c>
      <c r="N77" s="362">
        <f>N76*Gegevensinvoer!$C$59</f>
        <v>1489.05</v>
      </c>
      <c r="O77" s="366">
        <f>SUM(C77:N77)</f>
        <v>7858.875</v>
      </c>
      <c r="P77" s="214" t="s">
        <v>0</v>
      </c>
      <c r="Q77" s="313"/>
      <c r="R77" s="349"/>
      <c r="V77" s="349"/>
      <c r="AJ77" s="345"/>
      <c r="AK77" s="345"/>
    </row>
    <row r="78" spans="2:37" x14ac:dyDescent="0.2">
      <c r="B78" s="339" t="s">
        <v>180</v>
      </c>
      <c r="C78" s="340"/>
      <c r="D78" s="340"/>
      <c r="E78" s="340"/>
      <c r="F78" s="340"/>
      <c r="G78" s="340"/>
      <c r="H78" s="340"/>
      <c r="I78" s="340"/>
      <c r="J78" s="340"/>
      <c r="K78" s="340"/>
      <c r="L78" s="340"/>
      <c r="M78" s="340"/>
      <c r="N78" s="340"/>
      <c r="O78" s="340"/>
      <c r="P78" s="214"/>
      <c r="Q78" s="313"/>
      <c r="AJ78" s="345"/>
      <c r="AK78" s="345"/>
    </row>
    <row r="79" spans="2:37" x14ac:dyDescent="0.2">
      <c r="B79" s="305"/>
      <c r="C79" s="323"/>
      <c r="D79" s="323"/>
      <c r="E79" s="323"/>
      <c r="F79" s="323"/>
      <c r="G79" s="323"/>
      <c r="H79" s="323"/>
      <c r="I79" s="323"/>
      <c r="J79" s="323"/>
      <c r="K79" s="323"/>
      <c r="L79" s="323"/>
      <c r="M79" s="323"/>
      <c r="N79" s="323"/>
      <c r="O79" s="334">
        <f>O80/3.6</f>
        <v>11029.222222222221</v>
      </c>
      <c r="P79" s="214" t="s">
        <v>99</v>
      </c>
      <c r="AJ79" s="345"/>
      <c r="AK79" s="345"/>
    </row>
    <row r="80" spans="2:37" x14ac:dyDescent="0.2">
      <c r="B80" s="305"/>
      <c r="C80" s="323"/>
      <c r="D80" s="323"/>
      <c r="E80" s="323"/>
      <c r="F80" s="323"/>
      <c r="G80" s="323"/>
      <c r="H80" s="323"/>
      <c r="I80" s="323"/>
      <c r="J80" s="323"/>
      <c r="K80" s="323"/>
      <c r="L80" s="323"/>
      <c r="M80" s="323"/>
      <c r="N80" s="323"/>
      <c r="O80" s="334">
        <f>Gegevensinvoer!C62/2.5</f>
        <v>39705.199999999997</v>
      </c>
      <c r="P80" s="214" t="s">
        <v>0</v>
      </c>
      <c r="AJ80" s="345"/>
      <c r="AK80" s="345"/>
    </row>
    <row r="81" spans="2:37" x14ac:dyDescent="0.2">
      <c r="B81" s="305" t="s">
        <v>197</v>
      </c>
      <c r="C81" s="367"/>
      <c r="D81" s="323"/>
      <c r="E81" s="323"/>
      <c r="F81" s="323"/>
      <c r="G81" s="323"/>
      <c r="H81" s="323"/>
      <c r="I81" s="323"/>
      <c r="J81" s="323"/>
      <c r="K81" s="323"/>
      <c r="L81" s="323"/>
      <c r="M81" s="323"/>
      <c r="N81" s="323"/>
      <c r="O81" s="365">
        <f>O80*2.5</f>
        <v>99263</v>
      </c>
      <c r="P81" s="214" t="s">
        <v>0</v>
      </c>
      <c r="R81" s="368"/>
      <c r="AJ81" s="345"/>
      <c r="AK81" s="345"/>
    </row>
    <row r="82" spans="2:37" x14ac:dyDescent="0.2">
      <c r="B82" s="305"/>
      <c r="C82" s="367"/>
      <c r="D82" s="323"/>
      <c r="E82" s="334"/>
      <c r="F82" s="323"/>
      <c r="G82" s="323"/>
      <c r="H82" s="323"/>
      <c r="I82" s="323"/>
      <c r="J82" s="323"/>
      <c r="K82" s="323"/>
      <c r="L82" s="323"/>
      <c r="M82" s="323"/>
      <c r="N82" s="323"/>
      <c r="O82" s="323"/>
      <c r="P82" s="214"/>
      <c r="AJ82" s="345"/>
      <c r="AK82" s="345"/>
    </row>
    <row r="83" spans="2:37" x14ac:dyDescent="0.2">
      <c r="B83" s="339" t="s">
        <v>218</v>
      </c>
      <c r="C83" s="348"/>
      <c r="D83" s="348"/>
      <c r="E83" s="348"/>
      <c r="F83" s="348"/>
      <c r="G83" s="348"/>
      <c r="H83" s="348"/>
      <c r="I83" s="348"/>
      <c r="J83" s="348"/>
      <c r="K83" s="348"/>
      <c r="L83" s="348"/>
      <c r="M83" s="348"/>
      <c r="N83" s="348"/>
      <c r="O83" s="348"/>
      <c r="P83" s="214"/>
      <c r="AJ83" s="345"/>
      <c r="AK83" s="345"/>
    </row>
    <row r="84" spans="2:37" ht="13.5" thickBot="1" x14ac:dyDescent="0.25">
      <c r="B84" s="305" t="s">
        <v>198</v>
      </c>
      <c r="C84" s="323"/>
      <c r="D84" s="323"/>
      <c r="E84" s="323"/>
      <c r="F84" s="323"/>
      <c r="G84" s="323"/>
      <c r="H84" s="323"/>
      <c r="I84" s="323"/>
      <c r="J84" s="323"/>
      <c r="K84" s="323"/>
      <c r="L84" s="323"/>
      <c r="M84" s="323"/>
      <c r="N84" s="323"/>
      <c r="O84" s="365">
        <f>SWW!D50</f>
        <v>227191.58626930515</v>
      </c>
      <c r="P84" s="214" t="s">
        <v>0</v>
      </c>
      <c r="AJ84" s="345"/>
      <c r="AK84" s="345"/>
    </row>
    <row r="85" spans="2:37" x14ac:dyDescent="0.2">
      <c r="B85" s="369"/>
      <c r="C85" s="370"/>
      <c r="D85" s="370"/>
      <c r="E85" s="370"/>
      <c r="F85" s="370"/>
      <c r="G85" s="370"/>
      <c r="H85" s="370"/>
      <c r="I85" s="370"/>
      <c r="J85" s="370"/>
      <c r="K85" s="370"/>
      <c r="L85" s="370"/>
      <c r="M85" s="370"/>
      <c r="N85" s="370"/>
      <c r="O85" s="370"/>
      <c r="P85" s="316"/>
    </row>
    <row r="86" spans="2:37" x14ac:dyDescent="0.2">
      <c r="B86" s="371" t="s">
        <v>455</v>
      </c>
      <c r="C86" s="323"/>
      <c r="D86" s="323"/>
      <c r="E86" s="372"/>
      <c r="F86" s="323"/>
      <c r="G86" s="323"/>
      <c r="H86" s="323"/>
      <c r="I86" s="323"/>
      <c r="J86" s="323"/>
      <c r="K86" s="323"/>
      <c r="L86" s="323"/>
      <c r="M86" s="323"/>
      <c r="N86" s="323"/>
      <c r="O86" s="362">
        <f>O84+O81+O70+O58+O37+O77</f>
        <v>846262.09795420198</v>
      </c>
      <c r="P86" s="214" t="s">
        <v>0</v>
      </c>
    </row>
    <row r="87" spans="2:37" s="208" customFormat="1" ht="13.5" thickBot="1" x14ac:dyDescent="0.25">
      <c r="B87" s="373"/>
      <c r="C87" s="374"/>
      <c r="D87" s="374"/>
      <c r="E87" s="374"/>
      <c r="F87" s="374"/>
      <c r="G87" s="374"/>
      <c r="H87" s="374"/>
      <c r="I87" s="374"/>
      <c r="J87" s="374"/>
      <c r="K87" s="374"/>
      <c r="L87" s="374"/>
      <c r="M87" s="374"/>
      <c r="N87" s="374"/>
      <c r="O87" s="375"/>
      <c r="P87" s="227"/>
    </row>
    <row r="88" spans="2:37" s="208" customFormat="1" x14ac:dyDescent="0.2">
      <c r="C88" s="322"/>
      <c r="D88" s="322"/>
      <c r="F88" s="322"/>
      <c r="G88" s="322"/>
      <c r="H88" s="322"/>
      <c r="I88" s="322"/>
      <c r="J88" s="322"/>
      <c r="K88" s="322"/>
      <c r="L88" s="322"/>
      <c r="M88" s="322"/>
      <c r="N88" s="322"/>
      <c r="O88" s="323"/>
    </row>
    <row r="89" spans="2:37" s="208" customFormat="1" x14ac:dyDescent="0.2">
      <c r="B89" s="296"/>
      <c r="C89" s="322"/>
      <c r="D89" s="322"/>
      <c r="E89" s="362"/>
      <c r="F89" s="376"/>
      <c r="G89" s="376"/>
      <c r="H89" s="376"/>
      <c r="I89" s="376"/>
      <c r="J89" s="322"/>
      <c r="K89" s="322"/>
      <c r="L89" s="322"/>
      <c r="M89" s="322"/>
      <c r="N89" s="322"/>
      <c r="O89" s="323"/>
    </row>
    <row r="90" spans="2:37" s="208" customFormat="1" x14ac:dyDescent="0.2">
      <c r="B90" s="296"/>
      <c r="C90" s="322"/>
      <c r="D90" s="322"/>
      <c r="E90" s="362"/>
      <c r="F90" s="376"/>
      <c r="G90" s="376"/>
      <c r="H90" s="376"/>
      <c r="I90" s="376"/>
      <c r="J90" s="322"/>
      <c r="K90" s="322"/>
      <c r="L90" s="322"/>
      <c r="M90" s="322"/>
      <c r="N90" s="322"/>
      <c r="O90" s="323"/>
    </row>
    <row r="91" spans="2:37" s="208" customFormat="1" x14ac:dyDescent="0.2">
      <c r="B91" s="296"/>
      <c r="C91" s="322"/>
      <c r="D91" s="322"/>
      <c r="E91" s="362"/>
      <c r="F91" s="376"/>
      <c r="G91" s="376"/>
      <c r="H91" s="376"/>
      <c r="I91" s="376"/>
      <c r="J91" s="322"/>
      <c r="K91" s="322"/>
      <c r="L91" s="322"/>
      <c r="M91" s="322"/>
      <c r="N91" s="322"/>
      <c r="O91" s="323"/>
    </row>
    <row r="92" spans="2:37" s="208" customFormat="1" x14ac:dyDescent="0.2">
      <c r="C92" s="322"/>
      <c r="D92" s="322"/>
      <c r="E92" s="322"/>
      <c r="F92" s="322"/>
      <c r="G92" s="322"/>
      <c r="H92" s="322"/>
      <c r="I92" s="377"/>
      <c r="J92" s="378"/>
      <c r="K92" s="378"/>
      <c r="L92" s="379"/>
      <c r="M92" s="379"/>
      <c r="N92" s="379"/>
      <c r="O92" s="323"/>
    </row>
    <row r="93" spans="2:37" s="208" customFormat="1" x14ac:dyDescent="0.2">
      <c r="B93" s="296"/>
      <c r="C93" s="322"/>
      <c r="D93" s="322"/>
      <c r="E93" s="322"/>
      <c r="F93" s="376"/>
      <c r="G93" s="376"/>
      <c r="H93" s="322"/>
      <c r="I93" s="380"/>
      <c r="J93" s="378"/>
      <c r="K93" s="381"/>
      <c r="L93" s="382"/>
      <c r="M93" s="383"/>
      <c r="N93" s="379"/>
      <c r="O93" s="323"/>
    </row>
    <row r="94" spans="2:37" s="208" customFormat="1" x14ac:dyDescent="0.2">
      <c r="B94" s="296"/>
      <c r="C94" s="322"/>
      <c r="D94" s="322"/>
      <c r="E94" s="322"/>
      <c r="F94" s="376"/>
      <c r="G94" s="376"/>
      <c r="H94" s="322"/>
      <c r="I94" s="380"/>
      <c r="J94" s="378"/>
      <c r="K94" s="379"/>
      <c r="L94" s="382"/>
      <c r="M94" s="383"/>
      <c r="N94" s="379"/>
      <c r="O94" s="323"/>
    </row>
    <row r="95" spans="2:37" s="208" customFormat="1" x14ac:dyDescent="0.2">
      <c r="B95" s="296"/>
      <c r="C95" s="322"/>
      <c r="D95" s="322"/>
      <c r="E95" s="322"/>
      <c r="F95" s="376"/>
      <c r="G95" s="376"/>
      <c r="H95" s="322"/>
      <c r="I95" s="380"/>
      <c r="J95" s="378"/>
      <c r="K95" s="381"/>
      <c r="L95" s="382"/>
      <c r="M95" s="383"/>
      <c r="N95" s="379"/>
      <c r="O95" s="323"/>
    </row>
    <row r="96" spans="2:37" s="208" customFormat="1" x14ac:dyDescent="0.2">
      <c r="C96" s="322"/>
      <c r="D96" s="322"/>
      <c r="E96" s="322"/>
      <c r="F96" s="322"/>
      <c r="G96" s="322"/>
      <c r="H96" s="322"/>
      <c r="I96" s="377"/>
      <c r="J96" s="378"/>
      <c r="K96" s="379"/>
      <c r="L96" s="379"/>
      <c r="M96" s="379"/>
      <c r="N96" s="379"/>
      <c r="O96" s="323"/>
    </row>
    <row r="97" spans="3:15" s="208" customFormat="1" x14ac:dyDescent="0.2">
      <c r="C97" s="322"/>
      <c r="D97" s="322"/>
      <c r="E97" s="322"/>
      <c r="F97" s="322"/>
      <c r="G97" s="376"/>
      <c r="H97" s="322"/>
      <c r="I97" s="377"/>
      <c r="J97" s="378"/>
      <c r="K97" s="379"/>
      <c r="L97" s="379"/>
      <c r="M97" s="379"/>
      <c r="N97" s="379"/>
      <c r="O97" s="323"/>
    </row>
    <row r="98" spans="3:15" s="208" customFormat="1" x14ac:dyDescent="0.2">
      <c r="E98" s="322"/>
      <c r="F98" s="322"/>
      <c r="G98" s="322"/>
      <c r="H98" s="322"/>
      <c r="I98" s="377"/>
      <c r="J98" s="378"/>
      <c r="K98" s="379"/>
      <c r="L98" s="379"/>
      <c r="M98" s="379"/>
      <c r="N98" s="379"/>
      <c r="O98" s="323"/>
    </row>
    <row r="99" spans="3:15" s="208" customFormat="1" x14ac:dyDescent="0.2">
      <c r="E99" s="322"/>
      <c r="F99" s="322"/>
      <c r="G99" s="322"/>
      <c r="H99" s="322"/>
      <c r="I99" s="322"/>
      <c r="J99" s="323"/>
      <c r="O99" s="323"/>
    </row>
    <row r="100" spans="3:15" s="208" customFormat="1" x14ac:dyDescent="0.2">
      <c r="C100" s="322"/>
      <c r="E100" s="322"/>
      <c r="F100" s="322"/>
      <c r="G100" s="322"/>
      <c r="H100" s="322"/>
      <c r="I100" s="322"/>
      <c r="O100" s="323"/>
    </row>
    <row r="101" spans="3:15" s="208" customFormat="1" x14ac:dyDescent="0.2">
      <c r="E101" s="322"/>
      <c r="F101" s="322"/>
      <c r="G101" s="322"/>
      <c r="H101" s="322"/>
      <c r="I101" s="322"/>
      <c r="L101" s="384"/>
      <c r="O101" s="323"/>
    </row>
    <row r="102" spans="3:15" s="208" customFormat="1" x14ac:dyDescent="0.2">
      <c r="C102" s="322"/>
      <c r="D102" s="322"/>
      <c r="E102" s="322"/>
      <c r="F102" s="322"/>
      <c r="G102" s="322"/>
      <c r="H102" s="322"/>
      <c r="I102" s="322"/>
      <c r="O102" s="323"/>
    </row>
    <row r="103" spans="3:15" s="208" customFormat="1" x14ac:dyDescent="0.2">
      <c r="E103" s="322"/>
      <c r="F103" s="322"/>
      <c r="G103" s="322"/>
      <c r="H103" s="322"/>
      <c r="I103" s="322"/>
      <c r="J103" s="322"/>
      <c r="K103" s="349"/>
      <c r="O103" s="323"/>
    </row>
    <row r="104" spans="3:15" s="208" customFormat="1" x14ac:dyDescent="0.2">
      <c r="E104" s="322"/>
      <c r="F104" s="322"/>
      <c r="G104" s="322"/>
      <c r="H104" s="322"/>
      <c r="I104" s="322"/>
      <c r="J104" s="323"/>
      <c r="O104" s="323"/>
    </row>
    <row r="105" spans="3:15" s="208" customFormat="1" x14ac:dyDescent="0.2">
      <c r="F105" s="322"/>
      <c r="G105" s="322"/>
      <c r="H105" s="322"/>
      <c r="I105" s="322"/>
      <c r="J105" s="323"/>
      <c r="O105" s="323"/>
    </row>
    <row r="106" spans="3:15" s="208" customFormat="1" x14ac:dyDescent="0.2">
      <c r="F106" s="322"/>
      <c r="G106" s="322"/>
      <c r="H106" s="322"/>
      <c r="I106" s="322"/>
      <c r="J106" s="323"/>
      <c r="O106" s="323"/>
    </row>
    <row r="107" spans="3:15" s="208" customFormat="1" x14ac:dyDescent="0.2">
      <c r="C107" s="322"/>
      <c r="D107" s="322"/>
      <c r="F107" s="376"/>
      <c r="G107" s="322"/>
      <c r="H107" s="322"/>
      <c r="I107" s="322"/>
      <c r="J107" s="323"/>
      <c r="O107" s="323"/>
    </row>
    <row r="108" spans="3:15" s="208" customFormat="1" x14ac:dyDescent="0.2">
      <c r="C108" s="322"/>
      <c r="D108" s="322"/>
      <c r="F108" s="376"/>
      <c r="G108" s="322"/>
      <c r="H108" s="322"/>
      <c r="I108" s="322"/>
      <c r="J108" s="323"/>
      <c r="O108" s="323"/>
    </row>
    <row r="109" spans="3:15" s="208" customFormat="1" x14ac:dyDescent="0.2">
      <c r="C109" s="322"/>
      <c r="D109" s="322"/>
      <c r="F109" s="376"/>
      <c r="G109" s="322"/>
      <c r="H109" s="322"/>
      <c r="I109" s="322"/>
      <c r="J109" s="323"/>
      <c r="O109" s="323"/>
    </row>
    <row r="110" spans="3:15" s="208" customFormat="1" x14ac:dyDescent="0.2">
      <c r="C110" s="322"/>
      <c r="D110" s="322"/>
      <c r="J110" s="322"/>
      <c r="K110" s="322"/>
      <c r="L110" s="322"/>
      <c r="M110" s="322"/>
      <c r="N110" s="322"/>
      <c r="O110" s="323"/>
    </row>
    <row r="111" spans="3:15" s="208" customFormat="1" x14ac:dyDescent="0.2">
      <c r="C111" s="322"/>
      <c r="D111" s="322"/>
      <c r="J111" s="322"/>
      <c r="K111" s="322"/>
      <c r="L111" s="322"/>
      <c r="M111" s="322"/>
      <c r="N111" s="322"/>
      <c r="O111" s="323"/>
    </row>
    <row r="112" spans="3:15" s="208" customFormat="1" x14ac:dyDescent="0.2">
      <c r="C112" s="322"/>
      <c r="D112" s="322"/>
      <c r="J112" s="322"/>
      <c r="K112" s="322"/>
      <c r="L112" s="322"/>
      <c r="M112" s="322"/>
      <c r="N112" s="322"/>
      <c r="O112" s="323"/>
    </row>
    <row r="113" spans="3:15" s="208" customFormat="1" x14ac:dyDescent="0.2">
      <c r="C113" s="322"/>
      <c r="D113" s="322"/>
      <c r="J113" s="322"/>
      <c r="K113" s="322"/>
      <c r="L113" s="322"/>
      <c r="M113" s="322"/>
      <c r="N113" s="322"/>
      <c r="O113" s="323"/>
    </row>
    <row r="114" spans="3:15" s="208" customFormat="1" x14ac:dyDescent="0.2">
      <c r="C114" s="322"/>
      <c r="D114" s="322"/>
      <c r="J114" s="322"/>
      <c r="K114" s="322"/>
      <c r="L114" s="322"/>
      <c r="M114" s="322"/>
      <c r="N114" s="322"/>
      <c r="O114" s="323"/>
    </row>
    <row r="115" spans="3:15" s="208" customFormat="1" x14ac:dyDescent="0.2">
      <c r="C115" s="322"/>
      <c r="D115" s="322"/>
      <c r="E115" s="322"/>
      <c r="F115" s="322"/>
      <c r="G115" s="322"/>
      <c r="H115" s="322"/>
      <c r="I115" s="322"/>
      <c r="J115" s="322"/>
      <c r="K115" s="322"/>
      <c r="L115" s="322"/>
      <c r="M115" s="322"/>
      <c r="N115" s="322"/>
      <c r="O115" s="323"/>
    </row>
    <row r="116" spans="3:15" s="208" customFormat="1" x14ac:dyDescent="0.2">
      <c r="C116" s="322"/>
      <c r="D116" s="322"/>
      <c r="E116" s="322"/>
      <c r="F116" s="322"/>
      <c r="G116" s="322"/>
      <c r="H116" s="322"/>
      <c r="I116" s="322"/>
      <c r="J116" s="322"/>
      <c r="K116" s="322"/>
      <c r="L116" s="322"/>
      <c r="M116" s="322"/>
      <c r="N116" s="322"/>
      <c r="O116" s="323"/>
    </row>
    <row r="117" spans="3:15" s="208" customFormat="1" x14ac:dyDescent="0.2">
      <c r="C117" s="322"/>
      <c r="D117" s="322"/>
      <c r="E117" s="322"/>
      <c r="F117" s="322"/>
      <c r="G117" s="322"/>
      <c r="H117" s="322"/>
      <c r="I117" s="322"/>
      <c r="J117" s="322"/>
      <c r="K117" s="322"/>
      <c r="L117" s="322"/>
      <c r="M117" s="322"/>
      <c r="N117" s="322"/>
      <c r="O117" s="323"/>
    </row>
    <row r="118" spans="3:15" s="208" customFormat="1" x14ac:dyDescent="0.2">
      <c r="C118" s="322"/>
      <c r="D118" s="322"/>
      <c r="E118" s="322"/>
      <c r="F118" s="322"/>
      <c r="G118" s="322"/>
      <c r="H118" s="322"/>
      <c r="I118" s="322"/>
      <c r="J118" s="322"/>
      <c r="K118" s="322"/>
      <c r="L118" s="322"/>
      <c r="M118" s="322"/>
      <c r="N118" s="322"/>
      <c r="O118" s="323"/>
    </row>
    <row r="119" spans="3:15" s="208" customFormat="1" x14ac:dyDescent="0.2">
      <c r="C119" s="322"/>
      <c r="D119" s="322"/>
      <c r="E119" s="322"/>
      <c r="F119" s="322"/>
      <c r="G119" s="322"/>
      <c r="H119" s="322"/>
      <c r="I119" s="322"/>
      <c r="J119" s="322"/>
      <c r="K119" s="322"/>
      <c r="L119" s="322"/>
      <c r="M119" s="322"/>
      <c r="N119" s="322"/>
      <c r="O119" s="323"/>
    </row>
    <row r="120" spans="3:15" s="208" customFormat="1" x14ac:dyDescent="0.2">
      <c r="C120" s="322"/>
      <c r="D120" s="322"/>
      <c r="E120" s="322"/>
      <c r="F120" s="322"/>
      <c r="G120" s="322"/>
      <c r="H120" s="322"/>
      <c r="I120" s="322"/>
      <c r="J120" s="322"/>
      <c r="K120" s="322"/>
      <c r="L120" s="322"/>
      <c r="M120" s="322"/>
      <c r="N120" s="322"/>
      <c r="O120" s="323"/>
    </row>
    <row r="121" spans="3:15" s="208" customFormat="1" x14ac:dyDescent="0.2">
      <c r="C121" s="322"/>
      <c r="D121" s="322"/>
      <c r="E121" s="322"/>
      <c r="F121" s="322"/>
      <c r="G121" s="322"/>
      <c r="H121" s="322"/>
      <c r="I121" s="322"/>
      <c r="J121" s="322"/>
      <c r="K121" s="322"/>
      <c r="L121" s="322"/>
      <c r="M121" s="322"/>
      <c r="N121" s="322"/>
      <c r="O121" s="323"/>
    </row>
    <row r="122" spans="3:15" s="208" customFormat="1" x14ac:dyDescent="0.2">
      <c r="C122" s="322"/>
      <c r="D122" s="322"/>
      <c r="E122" s="322"/>
      <c r="F122" s="322"/>
      <c r="G122" s="322"/>
      <c r="H122" s="322"/>
      <c r="I122" s="322"/>
      <c r="J122" s="322"/>
      <c r="K122" s="322"/>
      <c r="L122" s="322"/>
      <c r="M122" s="322"/>
      <c r="N122" s="322"/>
      <c r="O122" s="323"/>
    </row>
    <row r="123" spans="3:15" s="208" customFormat="1" x14ac:dyDescent="0.2">
      <c r="C123" s="322"/>
      <c r="D123" s="322"/>
      <c r="E123" s="322"/>
      <c r="F123" s="322"/>
      <c r="G123" s="322"/>
      <c r="H123" s="322"/>
      <c r="I123" s="322"/>
      <c r="J123" s="322"/>
      <c r="K123" s="322"/>
      <c r="L123" s="322"/>
      <c r="M123" s="322"/>
      <c r="N123" s="322"/>
      <c r="O123" s="323"/>
    </row>
    <row r="124" spans="3:15" s="208" customFormat="1" x14ac:dyDescent="0.2">
      <c r="C124" s="322"/>
      <c r="D124" s="322"/>
      <c r="E124" s="322"/>
      <c r="F124" s="322"/>
      <c r="G124" s="322"/>
      <c r="H124" s="322"/>
      <c r="I124" s="322"/>
      <c r="J124" s="322"/>
      <c r="K124" s="322"/>
      <c r="L124" s="322"/>
      <c r="M124" s="322"/>
      <c r="N124" s="322"/>
      <c r="O124" s="323"/>
    </row>
    <row r="125" spans="3:15" s="208" customFormat="1" x14ac:dyDescent="0.2">
      <c r="C125" s="322"/>
      <c r="D125" s="322"/>
      <c r="E125" s="322"/>
      <c r="F125" s="322"/>
      <c r="G125" s="322"/>
      <c r="H125" s="322"/>
      <c r="I125" s="322"/>
      <c r="J125" s="322"/>
      <c r="K125" s="322"/>
      <c r="L125" s="322"/>
      <c r="M125" s="322"/>
      <c r="N125" s="322"/>
      <c r="O125" s="323"/>
    </row>
    <row r="126" spans="3:15" s="208" customFormat="1" x14ac:dyDescent="0.2">
      <c r="C126" s="322"/>
      <c r="D126" s="322"/>
      <c r="E126" s="322"/>
      <c r="F126" s="322"/>
      <c r="G126" s="322"/>
      <c r="H126" s="322"/>
      <c r="I126" s="322"/>
      <c r="J126" s="322"/>
      <c r="K126" s="322"/>
      <c r="L126" s="322"/>
      <c r="M126" s="322"/>
      <c r="N126" s="322"/>
      <c r="O126" s="323"/>
    </row>
    <row r="127" spans="3:15" s="208" customFormat="1" x14ac:dyDescent="0.2">
      <c r="C127" s="322"/>
      <c r="D127" s="322"/>
      <c r="E127" s="322"/>
      <c r="F127" s="322"/>
      <c r="G127" s="322"/>
      <c r="H127" s="322"/>
      <c r="I127" s="322"/>
      <c r="J127" s="322"/>
      <c r="K127" s="322"/>
      <c r="L127" s="322"/>
      <c r="M127" s="322"/>
      <c r="N127" s="322"/>
      <c r="O127" s="323"/>
    </row>
    <row r="128" spans="3:15" s="208" customFormat="1" x14ac:dyDescent="0.2">
      <c r="C128" s="322"/>
      <c r="D128" s="322"/>
      <c r="E128" s="322"/>
      <c r="F128" s="322"/>
      <c r="G128" s="322"/>
      <c r="H128" s="322"/>
      <c r="I128" s="322"/>
      <c r="J128" s="322"/>
      <c r="K128" s="322"/>
      <c r="L128" s="322"/>
      <c r="M128" s="322"/>
      <c r="N128" s="322"/>
      <c r="O128" s="323"/>
    </row>
    <row r="129" spans="3:15" s="208" customFormat="1" x14ac:dyDescent="0.2">
      <c r="C129" s="322"/>
      <c r="D129" s="322"/>
      <c r="E129" s="322"/>
      <c r="F129" s="322"/>
      <c r="G129" s="322"/>
      <c r="H129" s="322"/>
      <c r="I129" s="322"/>
      <c r="J129" s="322"/>
      <c r="K129" s="322"/>
      <c r="L129" s="322"/>
      <c r="M129" s="322"/>
      <c r="N129" s="322"/>
      <c r="O129" s="323"/>
    </row>
    <row r="130" spans="3:15" s="208" customFormat="1" x14ac:dyDescent="0.2">
      <c r="C130" s="322"/>
      <c r="D130" s="322"/>
      <c r="E130" s="322"/>
      <c r="F130" s="322"/>
      <c r="G130" s="322"/>
      <c r="H130" s="322"/>
      <c r="I130" s="322"/>
      <c r="J130" s="322"/>
      <c r="K130" s="322"/>
      <c r="L130" s="322"/>
      <c r="M130" s="322"/>
      <c r="N130" s="322"/>
      <c r="O130" s="323"/>
    </row>
    <row r="131" spans="3:15" s="208" customFormat="1" x14ac:dyDescent="0.2">
      <c r="C131" s="322"/>
      <c r="D131" s="322"/>
      <c r="E131" s="322"/>
      <c r="F131" s="322"/>
      <c r="G131" s="322"/>
      <c r="H131" s="322"/>
      <c r="I131" s="322"/>
      <c r="J131" s="322"/>
      <c r="K131" s="322"/>
      <c r="L131" s="322"/>
      <c r="M131" s="322"/>
      <c r="N131" s="322"/>
      <c r="O131" s="323"/>
    </row>
    <row r="132" spans="3:15" s="208" customFormat="1" x14ac:dyDescent="0.2">
      <c r="C132" s="322"/>
      <c r="D132" s="322"/>
      <c r="E132" s="322"/>
      <c r="F132" s="322"/>
      <c r="G132" s="322"/>
      <c r="H132" s="322"/>
      <c r="I132" s="322"/>
      <c r="J132" s="322"/>
      <c r="K132" s="322"/>
      <c r="L132" s="322"/>
      <c r="M132" s="322"/>
      <c r="N132" s="322"/>
      <c r="O132" s="323"/>
    </row>
    <row r="133" spans="3:15" s="208" customFormat="1" x14ac:dyDescent="0.2">
      <c r="C133" s="322"/>
      <c r="D133" s="322"/>
      <c r="E133" s="322"/>
      <c r="F133" s="322"/>
      <c r="G133" s="322"/>
      <c r="H133" s="322"/>
      <c r="I133" s="322"/>
      <c r="J133" s="322"/>
      <c r="K133" s="322"/>
      <c r="L133" s="322"/>
      <c r="M133" s="322"/>
      <c r="N133" s="322"/>
      <c r="O133" s="323"/>
    </row>
    <row r="134" spans="3:15" s="208" customFormat="1" x14ac:dyDescent="0.2">
      <c r="C134" s="322"/>
      <c r="D134" s="322"/>
      <c r="E134" s="322"/>
      <c r="F134" s="322"/>
      <c r="G134" s="322"/>
      <c r="H134" s="322"/>
      <c r="I134" s="322"/>
      <c r="J134" s="322"/>
      <c r="K134" s="322"/>
      <c r="L134" s="322"/>
      <c r="M134" s="322"/>
      <c r="N134" s="322"/>
      <c r="O134" s="323"/>
    </row>
    <row r="135" spans="3:15" s="208" customFormat="1" x14ac:dyDescent="0.2">
      <c r="C135" s="322"/>
      <c r="D135" s="322"/>
      <c r="E135" s="322"/>
      <c r="F135" s="322"/>
      <c r="G135" s="322"/>
      <c r="H135" s="322"/>
      <c r="I135" s="322"/>
      <c r="J135" s="322"/>
      <c r="K135" s="322"/>
      <c r="L135" s="322"/>
      <c r="M135" s="322"/>
      <c r="N135" s="322"/>
      <c r="O135" s="323"/>
    </row>
    <row r="136" spans="3:15" s="208" customFormat="1" x14ac:dyDescent="0.2">
      <c r="C136" s="322"/>
      <c r="D136" s="322"/>
      <c r="E136" s="322"/>
      <c r="F136" s="322"/>
      <c r="G136" s="322"/>
      <c r="H136" s="322"/>
      <c r="I136" s="322"/>
      <c r="J136" s="322"/>
      <c r="K136" s="322"/>
      <c r="L136" s="322"/>
      <c r="M136" s="322"/>
      <c r="N136" s="322"/>
      <c r="O136" s="323"/>
    </row>
    <row r="137" spans="3:15" s="208" customFormat="1" x14ac:dyDescent="0.2">
      <c r="C137" s="322"/>
      <c r="D137" s="322"/>
      <c r="E137" s="322"/>
      <c r="F137" s="322"/>
      <c r="G137" s="322"/>
      <c r="H137" s="322"/>
      <c r="I137" s="322"/>
      <c r="J137" s="322"/>
      <c r="K137" s="322"/>
      <c r="L137" s="322"/>
      <c r="M137" s="322"/>
      <c r="N137" s="322"/>
      <c r="O137" s="323"/>
    </row>
    <row r="138" spans="3:15" s="208" customFormat="1" x14ac:dyDescent="0.2">
      <c r="C138" s="322"/>
      <c r="D138" s="322"/>
      <c r="E138" s="322"/>
      <c r="F138" s="322"/>
      <c r="G138" s="322"/>
      <c r="H138" s="322"/>
      <c r="I138" s="322"/>
      <c r="J138" s="322"/>
      <c r="K138" s="322"/>
      <c r="L138" s="322"/>
      <c r="M138" s="322"/>
      <c r="N138" s="322"/>
      <c r="O138" s="323"/>
    </row>
    <row r="139" spans="3:15" s="208" customFormat="1" x14ac:dyDescent="0.2">
      <c r="C139" s="322"/>
      <c r="D139" s="322"/>
      <c r="E139" s="322"/>
      <c r="F139" s="322"/>
      <c r="G139" s="322"/>
      <c r="H139" s="322"/>
      <c r="I139" s="322"/>
      <c r="J139" s="322"/>
      <c r="K139" s="322"/>
      <c r="L139" s="322"/>
      <c r="M139" s="322"/>
      <c r="N139" s="322"/>
      <c r="O139" s="323"/>
    </row>
    <row r="140" spans="3:15" s="208" customFormat="1" x14ac:dyDescent="0.2">
      <c r="C140" s="322"/>
      <c r="D140" s="322"/>
      <c r="E140" s="322"/>
      <c r="F140" s="322"/>
      <c r="G140" s="322"/>
      <c r="H140" s="322"/>
      <c r="I140" s="322"/>
      <c r="J140" s="322"/>
      <c r="K140" s="322"/>
      <c r="L140" s="322"/>
      <c r="M140" s="322"/>
      <c r="N140" s="322"/>
      <c r="O140" s="323"/>
    </row>
    <row r="141" spans="3:15" s="208" customFormat="1" x14ac:dyDescent="0.2">
      <c r="C141" s="322"/>
      <c r="D141" s="322"/>
      <c r="E141" s="322"/>
      <c r="F141" s="322"/>
      <c r="G141" s="322"/>
      <c r="H141" s="322"/>
      <c r="I141" s="322"/>
      <c r="J141" s="322"/>
      <c r="K141" s="322"/>
      <c r="L141" s="322"/>
      <c r="M141" s="322"/>
      <c r="N141" s="322"/>
      <c r="O141" s="323"/>
    </row>
    <row r="142" spans="3:15" s="208" customFormat="1" x14ac:dyDescent="0.2">
      <c r="C142" s="322"/>
      <c r="D142" s="322"/>
      <c r="E142" s="322"/>
      <c r="F142" s="322"/>
      <c r="G142" s="322"/>
      <c r="H142" s="322"/>
      <c r="I142" s="322"/>
      <c r="J142" s="322"/>
      <c r="K142" s="322"/>
      <c r="L142" s="322"/>
      <c r="M142" s="322"/>
      <c r="N142" s="322"/>
      <c r="O142" s="323"/>
    </row>
    <row r="143" spans="3:15" s="208" customFormat="1" x14ac:dyDescent="0.2">
      <c r="C143" s="322"/>
      <c r="D143" s="322"/>
      <c r="E143" s="322"/>
      <c r="F143" s="322"/>
      <c r="G143" s="322"/>
      <c r="H143" s="322"/>
      <c r="I143" s="322"/>
      <c r="J143" s="322"/>
      <c r="K143" s="322"/>
      <c r="L143" s="322"/>
      <c r="M143" s="322"/>
      <c r="N143" s="322"/>
      <c r="O143" s="323"/>
    </row>
    <row r="144" spans="3:15" s="208" customFormat="1" x14ac:dyDescent="0.2">
      <c r="C144" s="322"/>
      <c r="D144" s="322"/>
      <c r="E144" s="322"/>
      <c r="F144" s="322"/>
      <c r="G144" s="322"/>
      <c r="H144" s="322"/>
      <c r="I144" s="322"/>
      <c r="J144" s="322"/>
      <c r="K144" s="322"/>
      <c r="L144" s="322"/>
      <c r="M144" s="322"/>
      <c r="N144" s="322"/>
      <c r="O144" s="323"/>
    </row>
    <row r="145" spans="3:15" s="208" customFormat="1" x14ac:dyDescent="0.2">
      <c r="C145" s="322"/>
      <c r="D145" s="322"/>
      <c r="E145" s="322"/>
      <c r="F145" s="322"/>
      <c r="G145" s="322"/>
      <c r="H145" s="322"/>
      <c r="I145" s="322"/>
      <c r="J145" s="322"/>
      <c r="K145" s="322"/>
      <c r="L145" s="322"/>
      <c r="M145" s="322"/>
      <c r="N145" s="322"/>
      <c r="O145" s="323"/>
    </row>
    <row r="146" spans="3:15" s="208" customFormat="1" x14ac:dyDescent="0.2">
      <c r="C146" s="322"/>
      <c r="D146" s="322"/>
      <c r="E146" s="322"/>
      <c r="F146" s="322"/>
      <c r="G146" s="322"/>
      <c r="H146" s="322"/>
      <c r="I146" s="322"/>
      <c r="J146" s="322"/>
      <c r="K146" s="322"/>
      <c r="L146" s="322"/>
      <c r="M146" s="322"/>
      <c r="N146" s="322"/>
      <c r="O146" s="323"/>
    </row>
    <row r="147" spans="3:15" s="208" customFormat="1" x14ac:dyDescent="0.2">
      <c r="C147" s="322"/>
      <c r="D147" s="322"/>
      <c r="E147" s="322"/>
      <c r="F147" s="322"/>
      <c r="G147" s="322"/>
      <c r="H147" s="322"/>
      <c r="I147" s="322"/>
      <c r="J147" s="322"/>
      <c r="K147" s="322"/>
      <c r="L147" s="322"/>
      <c r="M147" s="322"/>
      <c r="N147" s="322"/>
      <c r="O147" s="323"/>
    </row>
    <row r="148" spans="3:15" s="208" customFormat="1" x14ac:dyDescent="0.2">
      <c r="C148" s="322"/>
      <c r="D148" s="322"/>
      <c r="E148" s="322"/>
      <c r="F148" s="322"/>
      <c r="G148" s="322"/>
      <c r="H148" s="322"/>
      <c r="I148" s="322"/>
      <c r="J148" s="322"/>
      <c r="K148" s="322"/>
      <c r="L148" s="322"/>
      <c r="M148" s="322"/>
      <c r="N148" s="322"/>
      <c r="O148" s="323"/>
    </row>
    <row r="149" spans="3:15" s="208" customFormat="1" x14ac:dyDescent="0.2">
      <c r="C149" s="322"/>
      <c r="D149" s="322"/>
      <c r="E149" s="322"/>
      <c r="F149" s="322"/>
      <c r="G149" s="322"/>
      <c r="H149" s="322"/>
      <c r="I149" s="322"/>
      <c r="J149" s="322"/>
      <c r="K149" s="322"/>
      <c r="L149" s="322"/>
      <c r="M149" s="322"/>
      <c r="N149" s="322"/>
      <c r="O149" s="323"/>
    </row>
    <row r="150" spans="3:15" s="208" customFormat="1" x14ac:dyDescent="0.2">
      <c r="C150" s="322"/>
      <c r="D150" s="322"/>
      <c r="E150" s="322"/>
      <c r="F150" s="322"/>
      <c r="G150" s="322"/>
      <c r="H150" s="322"/>
      <c r="I150" s="322"/>
      <c r="J150" s="322"/>
      <c r="K150" s="322"/>
      <c r="L150" s="322"/>
      <c r="M150" s="322"/>
      <c r="N150" s="322"/>
      <c r="O150" s="323"/>
    </row>
    <row r="151" spans="3:15" s="208" customFormat="1" x14ac:dyDescent="0.2">
      <c r="C151" s="322"/>
      <c r="D151" s="322"/>
      <c r="E151" s="322"/>
      <c r="F151" s="322"/>
      <c r="G151" s="322"/>
      <c r="H151" s="322"/>
      <c r="I151" s="322"/>
      <c r="J151" s="322"/>
      <c r="K151" s="322"/>
      <c r="L151" s="322"/>
      <c r="M151" s="322"/>
      <c r="N151" s="322"/>
      <c r="O151" s="323"/>
    </row>
    <row r="152" spans="3:15" s="208" customFormat="1" x14ac:dyDescent="0.2">
      <c r="C152" s="322"/>
      <c r="D152" s="322"/>
      <c r="E152" s="322"/>
      <c r="F152" s="322"/>
      <c r="G152" s="322"/>
      <c r="H152" s="322"/>
      <c r="I152" s="322"/>
      <c r="J152" s="322"/>
      <c r="K152" s="322"/>
      <c r="L152" s="322"/>
      <c r="M152" s="322"/>
      <c r="N152" s="322"/>
      <c r="O152" s="323"/>
    </row>
    <row r="153" spans="3:15" s="208" customFormat="1" x14ac:dyDescent="0.2">
      <c r="C153" s="322"/>
      <c r="D153" s="322"/>
      <c r="E153" s="322"/>
      <c r="F153" s="322"/>
      <c r="G153" s="322"/>
      <c r="H153" s="322"/>
      <c r="I153" s="322"/>
      <c r="J153" s="322"/>
      <c r="K153" s="322"/>
      <c r="L153" s="322"/>
      <c r="M153" s="322"/>
      <c r="N153" s="322"/>
      <c r="O153" s="323"/>
    </row>
    <row r="154" spans="3:15" s="208" customFormat="1" x14ac:dyDescent="0.2">
      <c r="C154" s="322"/>
      <c r="D154" s="322"/>
      <c r="E154" s="322"/>
      <c r="F154" s="322"/>
      <c r="G154" s="322"/>
      <c r="H154" s="322"/>
      <c r="I154" s="322"/>
      <c r="J154" s="322"/>
      <c r="K154" s="322"/>
      <c r="L154" s="322"/>
      <c r="M154" s="322"/>
      <c r="N154" s="322"/>
      <c r="O154" s="323"/>
    </row>
    <row r="155" spans="3:15" s="208" customFormat="1" x14ac:dyDescent="0.2">
      <c r="C155" s="322"/>
      <c r="D155" s="322"/>
      <c r="E155" s="322"/>
      <c r="F155" s="322"/>
      <c r="G155" s="322"/>
      <c r="H155" s="322"/>
      <c r="I155" s="322"/>
      <c r="J155" s="322"/>
      <c r="K155" s="322"/>
      <c r="L155" s="322"/>
      <c r="M155" s="322"/>
      <c r="N155" s="322"/>
      <c r="O155" s="323"/>
    </row>
    <row r="156" spans="3:15" s="208" customFormat="1" x14ac:dyDescent="0.2">
      <c r="C156" s="322"/>
      <c r="D156" s="322"/>
      <c r="E156" s="322"/>
      <c r="F156" s="322"/>
      <c r="G156" s="322"/>
      <c r="H156" s="322"/>
      <c r="I156" s="322"/>
      <c r="J156" s="322"/>
      <c r="K156" s="322"/>
      <c r="L156" s="322"/>
      <c r="M156" s="322"/>
      <c r="N156" s="322"/>
      <c r="O156" s="323"/>
    </row>
    <row r="157" spans="3:15" s="208" customFormat="1" x14ac:dyDescent="0.2">
      <c r="C157" s="322"/>
      <c r="D157" s="322"/>
      <c r="E157" s="322"/>
      <c r="F157" s="322"/>
      <c r="G157" s="322"/>
      <c r="H157" s="322"/>
      <c r="I157" s="322"/>
      <c r="J157" s="322"/>
      <c r="K157" s="322"/>
      <c r="L157" s="322"/>
      <c r="M157" s="322"/>
      <c r="N157" s="322"/>
      <c r="O157" s="323"/>
    </row>
    <row r="158" spans="3:15" s="208" customFormat="1" x14ac:dyDescent="0.2">
      <c r="C158" s="322"/>
      <c r="D158" s="322"/>
      <c r="E158" s="322"/>
      <c r="F158" s="322"/>
      <c r="G158" s="322"/>
      <c r="H158" s="322"/>
      <c r="I158" s="322"/>
      <c r="J158" s="322"/>
      <c r="K158" s="322"/>
      <c r="L158" s="322"/>
      <c r="M158" s="322"/>
      <c r="N158" s="322"/>
      <c r="O158" s="323"/>
    </row>
    <row r="159" spans="3:15" s="208" customFormat="1" x14ac:dyDescent="0.2">
      <c r="C159" s="322"/>
      <c r="D159" s="322"/>
      <c r="E159" s="322"/>
      <c r="F159" s="322"/>
      <c r="G159" s="322"/>
      <c r="H159" s="322"/>
      <c r="I159" s="322"/>
      <c r="J159" s="322"/>
      <c r="K159" s="322"/>
      <c r="L159" s="322"/>
      <c r="M159" s="322"/>
      <c r="N159" s="322"/>
      <c r="O159" s="323"/>
    </row>
    <row r="160" spans="3:15" s="208" customFormat="1" x14ac:dyDescent="0.2">
      <c r="C160" s="322"/>
      <c r="D160" s="322"/>
      <c r="E160" s="322"/>
      <c r="F160" s="322"/>
      <c r="G160" s="322"/>
      <c r="H160" s="322"/>
      <c r="I160" s="322"/>
      <c r="J160" s="322"/>
      <c r="K160" s="322"/>
      <c r="L160" s="322"/>
      <c r="M160" s="322"/>
      <c r="N160" s="322"/>
      <c r="O160" s="323"/>
    </row>
    <row r="161" spans="3:15" s="208" customFormat="1" x14ac:dyDescent="0.2">
      <c r="C161" s="322"/>
      <c r="D161" s="322"/>
      <c r="E161" s="322"/>
      <c r="F161" s="322"/>
      <c r="G161" s="322"/>
      <c r="H161" s="322"/>
      <c r="I161" s="322"/>
      <c r="J161" s="322"/>
      <c r="K161" s="322"/>
      <c r="L161" s="322"/>
      <c r="M161" s="322"/>
      <c r="N161" s="322"/>
      <c r="O161" s="323"/>
    </row>
    <row r="162" spans="3:15" s="208" customFormat="1" x14ac:dyDescent="0.2">
      <c r="C162" s="322"/>
      <c r="D162" s="322"/>
      <c r="E162" s="322"/>
      <c r="F162" s="322"/>
      <c r="G162" s="322"/>
      <c r="H162" s="322"/>
      <c r="I162" s="322"/>
      <c r="J162" s="322"/>
      <c r="K162" s="322"/>
      <c r="L162" s="322"/>
      <c r="M162" s="322"/>
      <c r="N162" s="322"/>
      <c r="O162" s="323"/>
    </row>
    <row r="163" spans="3:15" s="208" customFormat="1" x14ac:dyDescent="0.2">
      <c r="C163" s="322"/>
      <c r="D163" s="322"/>
      <c r="E163" s="322"/>
      <c r="F163" s="322"/>
      <c r="G163" s="322"/>
      <c r="H163" s="322"/>
      <c r="I163" s="322"/>
      <c r="J163" s="322"/>
      <c r="K163" s="322"/>
      <c r="L163" s="322"/>
      <c r="M163" s="322"/>
      <c r="N163" s="322"/>
      <c r="O163" s="323"/>
    </row>
    <row r="164" spans="3:15" s="208" customFormat="1" x14ac:dyDescent="0.2">
      <c r="C164" s="322"/>
      <c r="D164" s="322"/>
      <c r="E164" s="322"/>
      <c r="F164" s="322"/>
      <c r="G164" s="322"/>
      <c r="H164" s="322"/>
      <c r="I164" s="322"/>
      <c r="J164" s="322"/>
      <c r="K164" s="322"/>
      <c r="L164" s="322"/>
      <c r="M164" s="322"/>
      <c r="N164" s="322"/>
      <c r="O164" s="323"/>
    </row>
    <row r="165" spans="3:15" s="208" customFormat="1" x14ac:dyDescent="0.2">
      <c r="C165" s="322"/>
      <c r="D165" s="322"/>
      <c r="E165" s="322"/>
      <c r="F165" s="322"/>
      <c r="G165" s="322"/>
      <c r="H165" s="322"/>
      <c r="I165" s="322"/>
      <c r="J165" s="322"/>
      <c r="K165" s="322"/>
      <c r="L165" s="322"/>
      <c r="M165" s="322"/>
      <c r="N165" s="322"/>
      <c r="O165" s="323"/>
    </row>
    <row r="166" spans="3:15" s="208" customFormat="1" x14ac:dyDescent="0.2">
      <c r="C166" s="322"/>
      <c r="D166" s="322"/>
      <c r="E166" s="322"/>
      <c r="F166" s="322"/>
      <c r="G166" s="322"/>
      <c r="H166" s="322"/>
      <c r="I166" s="322"/>
      <c r="J166" s="322"/>
      <c r="K166" s="322"/>
      <c r="L166" s="322"/>
      <c r="M166" s="322"/>
      <c r="N166" s="322"/>
      <c r="O166" s="323"/>
    </row>
    <row r="167" spans="3:15" s="208" customFormat="1" x14ac:dyDescent="0.2">
      <c r="C167" s="322"/>
      <c r="D167" s="322"/>
      <c r="E167" s="322"/>
      <c r="F167" s="322"/>
      <c r="G167" s="322"/>
      <c r="H167" s="322"/>
      <c r="I167" s="322"/>
      <c r="J167" s="322"/>
      <c r="K167" s="322"/>
      <c r="L167" s="322"/>
      <c r="M167" s="322"/>
      <c r="N167" s="322"/>
      <c r="O167" s="323"/>
    </row>
    <row r="168" spans="3:15" s="208" customFormat="1" x14ac:dyDescent="0.2">
      <c r="C168" s="322"/>
      <c r="D168" s="322"/>
      <c r="E168" s="322"/>
      <c r="F168" s="322"/>
      <c r="G168" s="322"/>
      <c r="H168" s="322"/>
      <c r="I168" s="322"/>
      <c r="J168" s="322"/>
      <c r="K168" s="322"/>
      <c r="L168" s="322"/>
      <c r="M168" s="322"/>
      <c r="N168" s="322"/>
      <c r="O168" s="323"/>
    </row>
    <row r="169" spans="3:15" s="208" customFormat="1" x14ac:dyDescent="0.2">
      <c r="C169" s="322"/>
      <c r="D169" s="322"/>
      <c r="E169" s="322"/>
      <c r="F169" s="322"/>
      <c r="G169" s="322"/>
      <c r="H169" s="322"/>
      <c r="I169" s="322"/>
      <c r="J169" s="322"/>
      <c r="K169" s="322"/>
      <c r="L169" s="322"/>
      <c r="M169" s="322"/>
      <c r="N169" s="322"/>
      <c r="O169" s="323"/>
    </row>
    <row r="170" spans="3:15" s="208" customFormat="1" x14ac:dyDescent="0.2">
      <c r="C170" s="322"/>
      <c r="D170" s="322"/>
      <c r="E170" s="322"/>
      <c r="F170" s="322"/>
      <c r="G170" s="322"/>
      <c r="H170" s="322"/>
      <c r="I170" s="322"/>
      <c r="J170" s="322"/>
      <c r="K170" s="322"/>
      <c r="L170" s="322"/>
      <c r="M170" s="322"/>
      <c r="N170" s="322"/>
      <c r="O170" s="323"/>
    </row>
    <row r="171" spans="3:15" s="208" customFormat="1" x14ac:dyDescent="0.2">
      <c r="C171" s="322"/>
      <c r="D171" s="322"/>
      <c r="E171" s="322"/>
      <c r="F171" s="322"/>
      <c r="G171" s="322"/>
      <c r="H171" s="322"/>
      <c r="I171" s="322"/>
      <c r="J171" s="322"/>
      <c r="K171" s="322"/>
      <c r="L171" s="322"/>
      <c r="M171" s="322"/>
      <c r="N171" s="322"/>
      <c r="O171" s="323"/>
    </row>
    <row r="172" spans="3:15" s="208" customFormat="1" x14ac:dyDescent="0.2">
      <c r="C172" s="322"/>
      <c r="D172" s="322"/>
      <c r="E172" s="322"/>
      <c r="F172" s="322"/>
      <c r="G172" s="322"/>
      <c r="H172" s="322"/>
      <c r="I172" s="322"/>
      <c r="J172" s="322"/>
      <c r="K172" s="322"/>
      <c r="L172" s="322"/>
      <c r="M172" s="322"/>
      <c r="N172" s="322"/>
      <c r="O172" s="323"/>
    </row>
    <row r="173" spans="3:15" s="208" customFormat="1" x14ac:dyDescent="0.2">
      <c r="C173" s="322"/>
      <c r="D173" s="322"/>
      <c r="E173" s="322"/>
      <c r="F173" s="322"/>
      <c r="G173" s="322"/>
      <c r="H173" s="322"/>
      <c r="I173" s="322"/>
      <c r="J173" s="322"/>
      <c r="K173" s="322"/>
      <c r="L173" s="322"/>
      <c r="M173" s="322"/>
      <c r="N173" s="322"/>
      <c r="O173" s="323"/>
    </row>
    <row r="174" spans="3:15" s="208" customFormat="1" x14ac:dyDescent="0.2">
      <c r="C174" s="322"/>
      <c r="D174" s="322"/>
      <c r="E174" s="322"/>
      <c r="F174" s="322"/>
      <c r="G174" s="322"/>
      <c r="H174" s="322"/>
      <c r="I174" s="322"/>
      <c r="J174" s="322"/>
      <c r="K174" s="322"/>
      <c r="L174" s="322"/>
      <c r="M174" s="322"/>
      <c r="N174" s="322"/>
      <c r="O174" s="323"/>
    </row>
    <row r="175" spans="3:15" s="208" customFormat="1" x14ac:dyDescent="0.2">
      <c r="C175" s="322"/>
      <c r="D175" s="322"/>
      <c r="E175" s="322"/>
      <c r="F175" s="322"/>
      <c r="G175" s="322"/>
      <c r="H175" s="322"/>
      <c r="I175" s="322"/>
      <c r="J175" s="322"/>
      <c r="K175" s="322"/>
      <c r="L175" s="322"/>
      <c r="M175" s="322"/>
      <c r="N175" s="322"/>
      <c r="O175" s="323"/>
    </row>
    <row r="176" spans="3:15" s="208" customFormat="1" x14ac:dyDescent="0.2">
      <c r="C176" s="322"/>
      <c r="D176" s="322"/>
      <c r="E176" s="322"/>
      <c r="F176" s="322"/>
      <c r="G176" s="322"/>
      <c r="H176" s="322"/>
      <c r="I176" s="322"/>
      <c r="J176" s="322"/>
      <c r="K176" s="322"/>
      <c r="L176" s="322"/>
      <c r="M176" s="322"/>
      <c r="N176" s="322"/>
      <c r="O176" s="323"/>
    </row>
    <row r="177" spans="3:15" s="208" customFormat="1" x14ac:dyDescent="0.2">
      <c r="C177" s="322"/>
      <c r="D177" s="322"/>
      <c r="E177" s="322"/>
      <c r="F177" s="322"/>
      <c r="G177" s="322"/>
      <c r="H177" s="322"/>
      <c r="I177" s="322"/>
      <c r="J177" s="322"/>
      <c r="K177" s="322"/>
      <c r="L177" s="322"/>
      <c r="M177" s="322"/>
      <c r="N177" s="322"/>
      <c r="O177" s="323"/>
    </row>
    <row r="178" spans="3:15" s="208" customFormat="1" x14ac:dyDescent="0.2">
      <c r="C178" s="322"/>
      <c r="D178" s="322"/>
      <c r="E178" s="322"/>
      <c r="F178" s="322"/>
      <c r="G178" s="322"/>
      <c r="H178" s="322"/>
      <c r="I178" s="322"/>
      <c r="J178" s="322"/>
      <c r="K178" s="322"/>
      <c r="L178" s="322"/>
      <c r="M178" s="322"/>
      <c r="N178" s="322"/>
      <c r="O178" s="323"/>
    </row>
    <row r="179" spans="3:15" s="208" customFormat="1" x14ac:dyDescent="0.2">
      <c r="C179" s="322"/>
      <c r="D179" s="322"/>
      <c r="E179" s="322"/>
      <c r="F179" s="322"/>
      <c r="G179" s="322"/>
      <c r="H179" s="322"/>
      <c r="I179" s="322"/>
      <c r="J179" s="322"/>
      <c r="K179" s="322"/>
      <c r="L179" s="322"/>
      <c r="M179" s="322"/>
      <c r="N179" s="322"/>
      <c r="O179" s="323"/>
    </row>
    <row r="180" spans="3:15" s="208" customFormat="1" x14ac:dyDescent="0.2">
      <c r="C180" s="322"/>
      <c r="D180" s="322"/>
      <c r="E180" s="322"/>
      <c r="F180" s="322"/>
      <c r="G180" s="322"/>
      <c r="H180" s="322"/>
      <c r="I180" s="322"/>
      <c r="J180" s="322"/>
      <c r="K180" s="322"/>
      <c r="L180" s="322"/>
      <c r="M180" s="322"/>
      <c r="N180" s="322"/>
      <c r="O180" s="323"/>
    </row>
    <row r="181" spans="3:15" s="208" customFormat="1" x14ac:dyDescent="0.2">
      <c r="C181" s="322"/>
      <c r="D181" s="322"/>
      <c r="E181" s="322"/>
      <c r="F181" s="322"/>
      <c r="G181" s="322"/>
      <c r="H181" s="322"/>
      <c r="I181" s="322"/>
      <c r="J181" s="322"/>
      <c r="K181" s="322"/>
      <c r="L181" s="322"/>
      <c r="M181" s="322"/>
      <c r="N181" s="322"/>
      <c r="O181" s="323"/>
    </row>
    <row r="182" spans="3:15" s="208" customFormat="1" x14ac:dyDescent="0.2">
      <c r="C182" s="322"/>
      <c r="D182" s="322"/>
      <c r="E182" s="322"/>
      <c r="F182" s="322"/>
      <c r="G182" s="322"/>
      <c r="H182" s="322"/>
      <c r="I182" s="322"/>
      <c r="J182" s="322"/>
      <c r="K182" s="322"/>
      <c r="L182" s="322"/>
      <c r="M182" s="322"/>
      <c r="N182" s="322"/>
      <c r="O182" s="323"/>
    </row>
    <row r="183" spans="3:15" s="208" customFormat="1" x14ac:dyDescent="0.2">
      <c r="C183" s="322"/>
      <c r="D183" s="322"/>
      <c r="E183" s="322"/>
      <c r="F183" s="322"/>
      <c r="G183" s="322"/>
      <c r="H183" s="322"/>
      <c r="I183" s="322"/>
      <c r="J183" s="322"/>
      <c r="K183" s="322"/>
      <c r="L183" s="322"/>
      <c r="M183" s="322"/>
      <c r="N183" s="322"/>
      <c r="O183" s="323"/>
    </row>
    <row r="184" spans="3:15" s="208" customFormat="1" x14ac:dyDescent="0.2">
      <c r="C184" s="322"/>
      <c r="D184" s="322"/>
      <c r="E184" s="322"/>
      <c r="F184" s="322"/>
      <c r="G184" s="322"/>
      <c r="H184" s="322"/>
      <c r="I184" s="322"/>
      <c r="J184" s="322"/>
      <c r="K184" s="322"/>
      <c r="L184" s="322"/>
      <c r="M184" s="322"/>
      <c r="N184" s="322"/>
      <c r="O184" s="323"/>
    </row>
    <row r="185" spans="3:15" s="208" customFormat="1" x14ac:dyDescent="0.2">
      <c r="C185" s="322"/>
      <c r="D185" s="322"/>
      <c r="E185" s="322"/>
      <c r="F185" s="322"/>
      <c r="G185" s="322"/>
      <c r="H185" s="322"/>
      <c r="I185" s="322"/>
      <c r="J185" s="322"/>
      <c r="K185" s="322"/>
      <c r="L185" s="322"/>
      <c r="M185" s="322"/>
      <c r="N185" s="322"/>
      <c r="O185" s="323"/>
    </row>
    <row r="186" spans="3:15" s="208" customFormat="1" x14ac:dyDescent="0.2">
      <c r="C186" s="322"/>
      <c r="D186" s="322"/>
      <c r="E186" s="322"/>
      <c r="F186" s="322"/>
      <c r="G186" s="322"/>
      <c r="H186" s="322"/>
      <c r="I186" s="322"/>
      <c r="J186" s="322"/>
      <c r="K186" s="322"/>
      <c r="L186" s="322"/>
      <c r="M186" s="322"/>
      <c r="N186" s="322"/>
      <c r="O186" s="323"/>
    </row>
    <row r="187" spans="3:15" s="208" customFormat="1" x14ac:dyDescent="0.2">
      <c r="C187" s="322"/>
      <c r="D187" s="322"/>
      <c r="E187" s="322"/>
      <c r="F187" s="322"/>
      <c r="G187" s="322"/>
      <c r="H187" s="322"/>
      <c r="I187" s="322"/>
      <c r="J187" s="322"/>
      <c r="K187" s="322"/>
      <c r="L187" s="322"/>
      <c r="M187" s="322"/>
      <c r="N187" s="322"/>
      <c r="O187" s="323"/>
    </row>
    <row r="188" spans="3:15" s="208" customFormat="1" x14ac:dyDescent="0.2">
      <c r="C188" s="322"/>
      <c r="D188" s="322"/>
      <c r="E188" s="322"/>
      <c r="F188" s="322"/>
      <c r="G188" s="322"/>
      <c r="H188" s="322"/>
      <c r="I188" s="322"/>
      <c r="J188" s="322"/>
      <c r="K188" s="322"/>
      <c r="L188" s="322"/>
      <c r="M188" s="322"/>
      <c r="N188" s="322"/>
      <c r="O188" s="323"/>
    </row>
    <row r="189" spans="3:15" s="208" customFormat="1" x14ac:dyDescent="0.2">
      <c r="C189" s="322"/>
      <c r="D189" s="322"/>
      <c r="E189" s="322"/>
      <c r="F189" s="322"/>
      <c r="G189" s="322"/>
      <c r="H189" s="322"/>
      <c r="I189" s="322"/>
      <c r="J189" s="322"/>
      <c r="K189" s="322"/>
      <c r="L189" s="322"/>
      <c r="M189" s="322"/>
      <c r="N189" s="322"/>
      <c r="O189" s="323"/>
    </row>
    <row r="190" spans="3:15" s="208" customFormat="1" x14ac:dyDescent="0.2">
      <c r="C190" s="322"/>
      <c r="D190" s="322"/>
      <c r="E190" s="322"/>
      <c r="F190" s="322"/>
      <c r="G190" s="322"/>
      <c r="H190" s="322"/>
      <c r="I190" s="322"/>
      <c r="J190" s="322"/>
      <c r="K190" s="322"/>
      <c r="L190" s="322"/>
      <c r="M190" s="322"/>
      <c r="N190" s="322"/>
      <c r="O190" s="323"/>
    </row>
    <row r="191" spans="3:15" s="208" customFormat="1" x14ac:dyDescent="0.2">
      <c r="C191" s="322"/>
      <c r="D191" s="322"/>
      <c r="E191" s="322"/>
      <c r="F191" s="322"/>
      <c r="G191" s="322"/>
      <c r="H191" s="322"/>
      <c r="I191" s="322"/>
      <c r="J191" s="322"/>
      <c r="K191" s="322"/>
      <c r="L191" s="322"/>
      <c r="M191" s="322"/>
      <c r="N191" s="322"/>
      <c r="O191" s="323"/>
    </row>
    <row r="192" spans="3:15" s="208" customFormat="1" x14ac:dyDescent="0.2">
      <c r="C192" s="322"/>
      <c r="D192" s="322"/>
      <c r="E192" s="322"/>
      <c r="F192" s="322"/>
      <c r="G192" s="322"/>
      <c r="H192" s="322"/>
      <c r="I192" s="322"/>
      <c r="J192" s="322"/>
      <c r="K192" s="322"/>
      <c r="L192" s="322"/>
      <c r="M192" s="322"/>
      <c r="N192" s="322"/>
      <c r="O192" s="323"/>
    </row>
    <row r="193" spans="3:15" s="208" customFormat="1" x14ac:dyDescent="0.2">
      <c r="C193" s="322"/>
      <c r="D193" s="322"/>
      <c r="E193" s="322"/>
      <c r="F193" s="322"/>
      <c r="G193" s="322"/>
      <c r="H193" s="322"/>
      <c r="I193" s="322"/>
      <c r="J193" s="322"/>
      <c r="K193" s="322"/>
      <c r="L193" s="322"/>
      <c r="M193" s="322"/>
      <c r="N193" s="322"/>
      <c r="O193" s="323"/>
    </row>
    <row r="194" spans="3:15" s="208" customFormat="1" x14ac:dyDescent="0.2">
      <c r="C194" s="322"/>
      <c r="D194" s="322"/>
      <c r="E194" s="322"/>
      <c r="F194" s="322"/>
      <c r="G194" s="322"/>
      <c r="H194" s="322"/>
      <c r="I194" s="322"/>
      <c r="J194" s="322"/>
      <c r="K194" s="322"/>
      <c r="L194" s="322"/>
      <c r="M194" s="322"/>
      <c r="N194" s="322"/>
      <c r="O194" s="323"/>
    </row>
    <row r="195" spans="3:15" s="208" customFormat="1" x14ac:dyDescent="0.2">
      <c r="C195" s="322"/>
      <c r="D195" s="322"/>
      <c r="E195" s="322"/>
      <c r="F195" s="322"/>
      <c r="G195" s="322"/>
      <c r="H195" s="322"/>
      <c r="I195" s="322"/>
      <c r="J195" s="322"/>
      <c r="K195" s="322"/>
      <c r="L195" s="322"/>
      <c r="M195" s="322"/>
      <c r="N195" s="322"/>
      <c r="O195" s="323"/>
    </row>
    <row r="196" spans="3:15" s="208" customFormat="1" x14ac:dyDescent="0.2">
      <c r="C196" s="322"/>
      <c r="D196" s="322"/>
      <c r="E196" s="322"/>
      <c r="F196" s="322"/>
      <c r="G196" s="322"/>
      <c r="H196" s="322"/>
      <c r="I196" s="322"/>
      <c r="J196" s="322"/>
      <c r="K196" s="322"/>
      <c r="L196" s="322"/>
      <c r="M196" s="322"/>
      <c r="N196" s="322"/>
      <c r="O196" s="323"/>
    </row>
    <row r="197" spans="3:15" s="208" customFormat="1" x14ac:dyDescent="0.2">
      <c r="C197" s="322"/>
      <c r="D197" s="322"/>
      <c r="E197" s="322"/>
      <c r="F197" s="322"/>
      <c r="G197" s="322"/>
      <c r="H197" s="322"/>
      <c r="I197" s="322"/>
      <c r="J197" s="322"/>
      <c r="K197" s="322"/>
      <c r="L197" s="322"/>
      <c r="M197" s="322"/>
      <c r="N197" s="322"/>
      <c r="O197" s="323"/>
    </row>
    <row r="198" spans="3:15" s="208" customFormat="1" x14ac:dyDescent="0.2">
      <c r="C198" s="322"/>
      <c r="D198" s="322"/>
      <c r="E198" s="322"/>
      <c r="F198" s="322"/>
      <c r="G198" s="322"/>
      <c r="H198" s="322"/>
      <c r="I198" s="322"/>
      <c r="J198" s="322"/>
      <c r="K198" s="322"/>
      <c r="L198" s="322"/>
      <c r="M198" s="322"/>
      <c r="N198" s="322"/>
      <c r="O198" s="323"/>
    </row>
    <row r="199" spans="3:15" s="208" customFormat="1" x14ac:dyDescent="0.2">
      <c r="C199" s="322"/>
      <c r="D199" s="322"/>
      <c r="E199" s="322"/>
      <c r="F199" s="322"/>
      <c r="G199" s="322"/>
      <c r="H199" s="322"/>
      <c r="I199" s="322"/>
      <c r="J199" s="322"/>
      <c r="K199" s="322"/>
      <c r="L199" s="322"/>
      <c r="M199" s="322"/>
      <c r="N199" s="322"/>
      <c r="O199" s="323"/>
    </row>
    <row r="200" spans="3:15" s="208" customFormat="1" x14ac:dyDescent="0.2">
      <c r="C200" s="322"/>
      <c r="D200" s="322"/>
      <c r="E200" s="322"/>
      <c r="F200" s="322"/>
      <c r="G200" s="322"/>
      <c r="H200" s="322"/>
      <c r="I200" s="322"/>
      <c r="J200" s="322"/>
      <c r="K200" s="322"/>
      <c r="L200" s="322"/>
      <c r="M200" s="322"/>
      <c r="N200" s="322"/>
      <c r="O200" s="323"/>
    </row>
    <row r="201" spans="3:15" s="208" customFormat="1" x14ac:dyDescent="0.2">
      <c r="C201" s="322"/>
      <c r="D201" s="322"/>
      <c r="E201" s="322"/>
      <c r="F201" s="322"/>
      <c r="G201" s="322"/>
      <c r="H201" s="322"/>
      <c r="I201" s="322"/>
      <c r="J201" s="322"/>
      <c r="K201" s="322"/>
      <c r="L201" s="322"/>
      <c r="M201" s="322"/>
      <c r="N201" s="322"/>
      <c r="O201" s="323"/>
    </row>
    <row r="202" spans="3:15" s="208" customFormat="1" x14ac:dyDescent="0.2">
      <c r="C202" s="322"/>
      <c r="D202" s="322"/>
      <c r="E202" s="322"/>
      <c r="F202" s="322"/>
      <c r="G202" s="322"/>
      <c r="H202" s="322"/>
      <c r="I202" s="322"/>
      <c r="J202" s="322"/>
      <c r="K202" s="322"/>
      <c r="L202" s="322"/>
      <c r="M202" s="322"/>
      <c r="N202" s="322"/>
      <c r="O202" s="323"/>
    </row>
    <row r="203" spans="3:15" s="208" customFormat="1" x14ac:dyDescent="0.2">
      <c r="C203" s="322"/>
      <c r="D203" s="322"/>
      <c r="E203" s="322"/>
      <c r="F203" s="322"/>
      <c r="G203" s="322"/>
      <c r="H203" s="322"/>
      <c r="I203" s="322"/>
      <c r="J203" s="322"/>
      <c r="K203" s="322"/>
      <c r="L203" s="322"/>
      <c r="M203" s="322"/>
      <c r="N203" s="322"/>
      <c r="O203" s="323"/>
    </row>
    <row r="204" spans="3:15" s="208" customFormat="1" x14ac:dyDescent="0.2">
      <c r="C204" s="322"/>
      <c r="D204" s="322"/>
      <c r="E204" s="322"/>
      <c r="F204" s="322"/>
      <c r="G204" s="322"/>
      <c r="H204" s="322"/>
      <c r="I204" s="322"/>
      <c r="J204" s="322"/>
      <c r="K204" s="322"/>
      <c r="L204" s="322"/>
      <c r="M204" s="322"/>
      <c r="N204" s="322"/>
      <c r="O204" s="323"/>
    </row>
    <row r="205" spans="3:15" s="208" customFormat="1" x14ac:dyDescent="0.2">
      <c r="C205" s="322"/>
      <c r="D205" s="322"/>
      <c r="E205" s="322"/>
      <c r="F205" s="322"/>
      <c r="G205" s="322"/>
      <c r="H205" s="322"/>
      <c r="I205" s="322"/>
      <c r="J205" s="322"/>
      <c r="K205" s="322"/>
      <c r="L205" s="322"/>
      <c r="M205" s="322"/>
      <c r="N205" s="322"/>
      <c r="O205" s="323"/>
    </row>
    <row r="206" spans="3:15" s="208" customFormat="1" x14ac:dyDescent="0.2">
      <c r="C206" s="322"/>
      <c r="D206" s="322"/>
      <c r="E206" s="322"/>
      <c r="F206" s="322"/>
      <c r="G206" s="322"/>
      <c r="H206" s="322"/>
      <c r="I206" s="322"/>
      <c r="J206" s="322"/>
      <c r="K206" s="322"/>
      <c r="L206" s="322"/>
      <c r="M206" s="322"/>
      <c r="N206" s="322"/>
      <c r="O206" s="323"/>
    </row>
    <row r="207" spans="3:15" s="208" customFormat="1" x14ac:dyDescent="0.2">
      <c r="C207" s="322"/>
      <c r="D207" s="322"/>
      <c r="E207" s="322"/>
      <c r="F207" s="322"/>
      <c r="G207" s="322"/>
      <c r="H207" s="322"/>
      <c r="I207" s="322"/>
      <c r="J207" s="322"/>
      <c r="K207" s="322"/>
      <c r="L207" s="322"/>
      <c r="M207" s="322"/>
      <c r="N207" s="322"/>
      <c r="O207" s="323"/>
    </row>
    <row r="208" spans="3:15" s="208" customFormat="1" x14ac:dyDescent="0.2">
      <c r="C208" s="322"/>
      <c r="D208" s="322"/>
      <c r="E208" s="322"/>
      <c r="F208" s="322"/>
      <c r="G208" s="322"/>
      <c r="H208" s="322"/>
      <c r="I208" s="322"/>
      <c r="J208" s="322"/>
      <c r="K208" s="322"/>
      <c r="L208" s="322"/>
      <c r="M208" s="322"/>
      <c r="N208" s="322"/>
      <c r="O208" s="323"/>
    </row>
    <row r="209" spans="3:15" s="208" customFormat="1" x14ac:dyDescent="0.2">
      <c r="C209" s="322"/>
      <c r="D209" s="322"/>
      <c r="E209" s="322"/>
      <c r="F209" s="322"/>
      <c r="G209" s="322"/>
      <c r="H209" s="322"/>
      <c r="I209" s="322"/>
      <c r="J209" s="322"/>
      <c r="K209" s="322"/>
      <c r="L209" s="322"/>
      <c r="M209" s="322"/>
      <c r="N209" s="322"/>
      <c r="O209" s="323"/>
    </row>
    <row r="210" spans="3:15" s="208" customFormat="1" x14ac:dyDescent="0.2">
      <c r="C210" s="322"/>
      <c r="D210" s="322"/>
      <c r="E210" s="322"/>
      <c r="F210" s="322"/>
      <c r="G210" s="322"/>
      <c r="H210" s="322"/>
      <c r="I210" s="322"/>
      <c r="J210" s="322"/>
      <c r="K210" s="322"/>
      <c r="L210" s="322"/>
      <c r="M210" s="322"/>
      <c r="N210" s="322"/>
      <c r="O210" s="323"/>
    </row>
    <row r="211" spans="3:15" s="208" customFormat="1" x14ac:dyDescent="0.2">
      <c r="C211" s="322"/>
      <c r="D211" s="322"/>
      <c r="E211" s="322"/>
      <c r="F211" s="322"/>
      <c r="G211" s="322"/>
      <c r="H211" s="322"/>
      <c r="I211" s="322"/>
      <c r="J211" s="322"/>
      <c r="K211" s="322"/>
      <c r="L211" s="322"/>
      <c r="M211" s="322"/>
      <c r="N211" s="322"/>
      <c r="O211" s="323"/>
    </row>
    <row r="212" spans="3:15" s="208" customFormat="1" x14ac:dyDescent="0.2">
      <c r="C212" s="322"/>
      <c r="D212" s="322"/>
      <c r="E212" s="322"/>
      <c r="F212" s="322"/>
      <c r="G212" s="322"/>
      <c r="H212" s="322"/>
      <c r="I212" s="322"/>
      <c r="J212" s="322"/>
      <c r="K212" s="322"/>
      <c r="L212" s="322"/>
      <c r="M212" s="322"/>
      <c r="N212" s="322"/>
      <c r="O212" s="323"/>
    </row>
    <row r="213" spans="3:15" s="208" customFormat="1" x14ac:dyDescent="0.2">
      <c r="C213" s="322"/>
      <c r="D213" s="322"/>
      <c r="E213" s="322"/>
      <c r="F213" s="322"/>
      <c r="G213" s="322"/>
      <c r="H213" s="322"/>
      <c r="I213" s="322"/>
      <c r="J213" s="322"/>
      <c r="K213" s="322"/>
      <c r="L213" s="322"/>
      <c r="M213" s="322"/>
      <c r="N213" s="322"/>
      <c r="O213" s="323"/>
    </row>
    <row r="214" spans="3:15" s="208" customFormat="1" x14ac:dyDescent="0.2">
      <c r="C214" s="322"/>
      <c r="D214" s="322"/>
      <c r="E214" s="322"/>
      <c r="F214" s="322"/>
      <c r="G214" s="322"/>
      <c r="H214" s="322"/>
      <c r="I214" s="322"/>
      <c r="J214" s="322"/>
      <c r="K214" s="322"/>
      <c r="L214" s="322"/>
      <c r="M214" s="322"/>
      <c r="N214" s="322"/>
      <c r="O214" s="323"/>
    </row>
    <row r="215" spans="3:15" s="208" customFormat="1" x14ac:dyDescent="0.2">
      <c r="C215" s="322"/>
      <c r="D215" s="322"/>
      <c r="E215" s="322"/>
      <c r="F215" s="322"/>
      <c r="G215" s="322"/>
      <c r="H215" s="322"/>
      <c r="I215" s="322"/>
      <c r="J215" s="322"/>
      <c r="K215" s="322"/>
      <c r="L215" s="322"/>
      <c r="M215" s="322"/>
      <c r="N215" s="322"/>
      <c r="O215" s="323"/>
    </row>
    <row r="216" spans="3:15" s="208" customFormat="1" x14ac:dyDescent="0.2">
      <c r="C216" s="322"/>
      <c r="D216" s="322"/>
      <c r="E216" s="322"/>
      <c r="F216" s="322"/>
      <c r="G216" s="322"/>
      <c r="H216" s="322"/>
      <c r="I216" s="322"/>
      <c r="J216" s="322"/>
      <c r="K216" s="322"/>
      <c r="L216" s="322"/>
      <c r="M216" s="322"/>
      <c r="N216" s="322"/>
      <c r="O216" s="323"/>
    </row>
    <row r="217" spans="3:15" s="208" customFormat="1" x14ac:dyDescent="0.2">
      <c r="C217" s="322"/>
      <c r="D217" s="322"/>
      <c r="E217" s="322"/>
      <c r="F217" s="322"/>
      <c r="G217" s="322"/>
      <c r="H217" s="322"/>
      <c r="I217" s="322"/>
      <c r="J217" s="322"/>
      <c r="K217" s="322"/>
      <c r="L217" s="322"/>
      <c r="M217" s="322"/>
      <c r="N217" s="322"/>
      <c r="O217" s="323"/>
    </row>
    <row r="218" spans="3:15" s="208" customFormat="1" x14ac:dyDescent="0.2">
      <c r="C218" s="322"/>
      <c r="D218" s="322"/>
      <c r="E218" s="322"/>
      <c r="F218" s="322"/>
      <c r="G218" s="322"/>
      <c r="H218" s="322"/>
      <c r="I218" s="322"/>
      <c r="J218" s="322"/>
      <c r="K218" s="322"/>
      <c r="L218" s="322"/>
      <c r="M218" s="322"/>
      <c r="N218" s="322"/>
      <c r="O218" s="323"/>
    </row>
    <row r="219" spans="3:15" s="208" customFormat="1" x14ac:dyDescent="0.2">
      <c r="C219" s="322"/>
      <c r="D219" s="322"/>
      <c r="E219" s="322"/>
      <c r="F219" s="322"/>
      <c r="G219" s="322"/>
      <c r="H219" s="322"/>
      <c r="I219" s="322"/>
      <c r="J219" s="322"/>
      <c r="K219" s="322"/>
      <c r="L219" s="322"/>
      <c r="M219" s="322"/>
      <c r="N219" s="322"/>
      <c r="O219" s="323"/>
    </row>
    <row r="220" spans="3:15" s="208" customFormat="1" x14ac:dyDescent="0.2">
      <c r="C220" s="322"/>
      <c r="D220" s="322"/>
      <c r="E220" s="322"/>
      <c r="F220" s="322"/>
      <c r="G220" s="322"/>
      <c r="H220" s="322"/>
      <c r="I220" s="322"/>
      <c r="J220" s="322"/>
      <c r="K220" s="322"/>
      <c r="L220" s="322"/>
      <c r="M220" s="322"/>
      <c r="N220" s="322"/>
      <c r="O220" s="323"/>
    </row>
    <row r="221" spans="3:15" s="208" customFormat="1" x14ac:dyDescent="0.2">
      <c r="C221" s="322"/>
      <c r="D221" s="322"/>
      <c r="E221" s="322"/>
      <c r="F221" s="322"/>
      <c r="G221" s="322"/>
      <c r="H221" s="322"/>
      <c r="I221" s="322"/>
      <c r="J221" s="322"/>
      <c r="K221" s="322"/>
      <c r="L221" s="322"/>
      <c r="M221" s="322"/>
      <c r="N221" s="322"/>
      <c r="O221" s="323"/>
    </row>
    <row r="222" spans="3:15" s="208" customFormat="1" x14ac:dyDescent="0.2">
      <c r="C222" s="322"/>
      <c r="D222" s="322"/>
      <c r="E222" s="322"/>
      <c r="F222" s="322"/>
      <c r="G222" s="322"/>
      <c r="H222" s="322"/>
      <c r="I222" s="322"/>
      <c r="J222" s="322"/>
      <c r="K222" s="322"/>
      <c r="L222" s="322"/>
      <c r="M222" s="322"/>
      <c r="N222" s="322"/>
      <c r="O222" s="323"/>
    </row>
    <row r="223" spans="3:15" s="208" customFormat="1" x14ac:dyDescent="0.2">
      <c r="C223" s="322"/>
      <c r="D223" s="322"/>
      <c r="E223" s="322"/>
      <c r="F223" s="322"/>
      <c r="G223" s="322"/>
      <c r="H223" s="322"/>
      <c r="I223" s="322"/>
      <c r="J223" s="322"/>
      <c r="K223" s="322"/>
      <c r="L223" s="322"/>
      <c r="M223" s="322"/>
      <c r="N223" s="322"/>
      <c r="O223" s="323"/>
    </row>
    <row r="224" spans="3:15" s="208" customFormat="1" x14ac:dyDescent="0.2">
      <c r="C224" s="322"/>
      <c r="D224" s="322"/>
      <c r="E224" s="322"/>
      <c r="F224" s="322"/>
      <c r="G224" s="322"/>
      <c r="H224" s="322"/>
      <c r="I224" s="322"/>
      <c r="J224" s="322"/>
      <c r="K224" s="322"/>
      <c r="L224" s="322"/>
      <c r="M224" s="322"/>
      <c r="N224" s="322"/>
      <c r="O224" s="323"/>
    </row>
    <row r="225" spans="3:15" s="208" customFormat="1" x14ac:dyDescent="0.2">
      <c r="C225" s="322"/>
      <c r="D225" s="322"/>
      <c r="E225" s="322"/>
      <c r="F225" s="322"/>
      <c r="G225" s="322"/>
      <c r="H225" s="322"/>
      <c r="I225" s="322"/>
      <c r="J225" s="322"/>
      <c r="K225" s="322"/>
      <c r="L225" s="322"/>
      <c r="M225" s="322"/>
      <c r="N225" s="322"/>
      <c r="O225" s="323"/>
    </row>
    <row r="226" spans="3:15" s="208" customFormat="1" x14ac:dyDescent="0.2">
      <c r="C226" s="322"/>
      <c r="D226" s="322"/>
      <c r="E226" s="322"/>
      <c r="F226" s="322"/>
      <c r="G226" s="322"/>
      <c r="H226" s="322"/>
      <c r="I226" s="322"/>
      <c r="J226" s="322"/>
      <c r="K226" s="322"/>
      <c r="L226" s="322"/>
      <c r="M226" s="322"/>
      <c r="N226" s="322"/>
      <c r="O226" s="323"/>
    </row>
    <row r="227" spans="3:15" s="208" customFormat="1" x14ac:dyDescent="0.2">
      <c r="C227" s="322"/>
      <c r="D227" s="322"/>
      <c r="E227" s="322"/>
      <c r="F227" s="322"/>
      <c r="G227" s="322"/>
      <c r="H227" s="322"/>
      <c r="I227" s="322"/>
      <c r="J227" s="322"/>
      <c r="K227" s="322"/>
      <c r="L227" s="322"/>
      <c r="M227" s="322"/>
      <c r="N227" s="322"/>
      <c r="O227" s="323"/>
    </row>
    <row r="228" spans="3:15" s="208" customFormat="1" x14ac:dyDescent="0.2">
      <c r="C228" s="322"/>
      <c r="D228" s="322"/>
      <c r="E228" s="322"/>
      <c r="F228" s="322"/>
      <c r="G228" s="322"/>
      <c r="H228" s="322"/>
      <c r="I228" s="322"/>
      <c r="J228" s="322"/>
      <c r="K228" s="322"/>
      <c r="L228" s="322"/>
      <c r="M228" s="322"/>
      <c r="N228" s="322"/>
      <c r="O228" s="323"/>
    </row>
    <row r="229" spans="3:15" s="208" customFormat="1" x14ac:dyDescent="0.2">
      <c r="C229" s="322"/>
      <c r="D229" s="322"/>
      <c r="E229" s="322"/>
      <c r="F229" s="322"/>
      <c r="G229" s="322"/>
      <c r="H229" s="322"/>
      <c r="I229" s="322"/>
      <c r="J229" s="322"/>
      <c r="K229" s="322"/>
      <c r="L229" s="322"/>
      <c r="M229" s="322"/>
      <c r="N229" s="322"/>
      <c r="O229" s="323"/>
    </row>
    <row r="230" spans="3:15" s="208" customFormat="1" x14ac:dyDescent="0.2">
      <c r="C230" s="322"/>
      <c r="D230" s="322"/>
      <c r="E230" s="322"/>
      <c r="F230" s="322"/>
      <c r="G230" s="322"/>
      <c r="H230" s="322"/>
      <c r="I230" s="322"/>
      <c r="J230" s="322"/>
      <c r="K230" s="322"/>
      <c r="L230" s="322"/>
      <c r="M230" s="322"/>
      <c r="N230" s="322"/>
      <c r="O230" s="323"/>
    </row>
    <row r="231" spans="3:15" s="208" customFormat="1" x14ac:dyDescent="0.2">
      <c r="C231" s="322"/>
      <c r="D231" s="322"/>
      <c r="E231" s="322"/>
      <c r="F231" s="322"/>
      <c r="G231" s="322"/>
      <c r="H231" s="322"/>
      <c r="I231" s="322"/>
      <c r="J231" s="322"/>
      <c r="K231" s="322"/>
      <c r="L231" s="322"/>
      <c r="M231" s="322"/>
      <c r="N231" s="322"/>
      <c r="O231" s="323"/>
    </row>
    <row r="232" spans="3:15" s="208" customFormat="1" x14ac:dyDescent="0.2">
      <c r="C232" s="322"/>
      <c r="D232" s="322"/>
      <c r="E232" s="322"/>
      <c r="F232" s="322"/>
      <c r="G232" s="322"/>
      <c r="H232" s="322"/>
      <c r="I232" s="322"/>
      <c r="J232" s="322"/>
      <c r="K232" s="322"/>
      <c r="L232" s="322"/>
      <c r="M232" s="322"/>
      <c r="N232" s="322"/>
      <c r="O232" s="323"/>
    </row>
    <row r="233" spans="3:15" s="208" customFormat="1" x14ac:dyDescent="0.2">
      <c r="C233" s="322"/>
      <c r="D233" s="322"/>
      <c r="E233" s="322"/>
      <c r="F233" s="322"/>
      <c r="G233" s="322"/>
      <c r="H233" s="322"/>
      <c r="I233" s="322"/>
      <c r="J233" s="322"/>
      <c r="K233" s="322"/>
      <c r="L233" s="322"/>
      <c r="M233" s="322"/>
      <c r="N233" s="322"/>
      <c r="O233" s="323"/>
    </row>
    <row r="234" spans="3:15" s="208" customFormat="1" x14ac:dyDescent="0.2">
      <c r="C234" s="322"/>
      <c r="D234" s="322"/>
      <c r="E234" s="322"/>
      <c r="F234" s="322"/>
      <c r="G234" s="322"/>
      <c r="H234" s="322"/>
      <c r="I234" s="322"/>
      <c r="J234" s="322"/>
      <c r="K234" s="322"/>
      <c r="L234" s="322"/>
      <c r="M234" s="322"/>
      <c r="N234" s="322"/>
      <c r="O234" s="323"/>
    </row>
    <row r="235" spans="3:15" s="208" customFormat="1" x14ac:dyDescent="0.2">
      <c r="C235" s="322"/>
      <c r="D235" s="322"/>
      <c r="E235" s="322"/>
      <c r="F235" s="322"/>
      <c r="G235" s="322"/>
      <c r="H235" s="322"/>
      <c r="I235" s="322"/>
      <c r="J235" s="322"/>
      <c r="K235" s="322"/>
      <c r="L235" s="322"/>
      <c r="M235" s="322"/>
      <c r="N235" s="322"/>
      <c r="O235" s="323"/>
    </row>
    <row r="236" spans="3:15" s="208" customFormat="1" x14ac:dyDescent="0.2">
      <c r="C236" s="322"/>
      <c r="D236" s="322"/>
      <c r="E236" s="322"/>
      <c r="F236" s="322"/>
      <c r="G236" s="322"/>
      <c r="H236" s="322"/>
      <c r="I236" s="322"/>
      <c r="J236" s="322"/>
      <c r="K236" s="322"/>
      <c r="L236" s="322"/>
      <c r="M236" s="322"/>
      <c r="N236" s="322"/>
      <c r="O236" s="323"/>
    </row>
    <row r="237" spans="3:15" s="208" customFormat="1" x14ac:dyDescent="0.2">
      <c r="C237" s="322"/>
      <c r="D237" s="322"/>
      <c r="E237" s="322"/>
      <c r="F237" s="322"/>
      <c r="G237" s="322"/>
      <c r="H237" s="322"/>
      <c r="I237" s="322"/>
      <c r="J237" s="322"/>
      <c r="K237" s="322"/>
      <c r="L237" s="322"/>
      <c r="M237" s="322"/>
      <c r="N237" s="322"/>
      <c r="O237" s="323"/>
    </row>
    <row r="238" spans="3:15" s="208" customFormat="1" x14ac:dyDescent="0.2">
      <c r="C238" s="322"/>
      <c r="D238" s="322"/>
      <c r="E238" s="322"/>
      <c r="F238" s="322"/>
      <c r="G238" s="322"/>
      <c r="H238" s="322"/>
      <c r="I238" s="322"/>
      <c r="J238" s="322"/>
      <c r="K238" s="322"/>
      <c r="L238" s="322"/>
      <c r="M238" s="322"/>
      <c r="N238" s="322"/>
      <c r="O238" s="323"/>
    </row>
    <row r="239" spans="3:15" s="208" customFormat="1" x14ac:dyDescent="0.2">
      <c r="C239" s="322"/>
      <c r="D239" s="322"/>
      <c r="E239" s="322"/>
      <c r="F239" s="322"/>
      <c r="G239" s="322"/>
      <c r="H239" s="322"/>
      <c r="I239" s="322"/>
      <c r="J239" s="322"/>
      <c r="K239" s="322"/>
      <c r="L239" s="322"/>
      <c r="M239" s="322"/>
      <c r="N239" s="322"/>
      <c r="O239" s="323"/>
    </row>
    <row r="240" spans="3:15" s="208" customFormat="1" x14ac:dyDescent="0.2">
      <c r="C240" s="322"/>
      <c r="D240" s="322"/>
      <c r="E240" s="322"/>
      <c r="F240" s="322"/>
      <c r="G240" s="322"/>
      <c r="H240" s="322"/>
      <c r="I240" s="322"/>
      <c r="J240" s="322"/>
      <c r="K240" s="322"/>
      <c r="L240" s="322"/>
      <c r="M240" s="322"/>
      <c r="N240" s="322"/>
      <c r="O240" s="323"/>
    </row>
    <row r="241" spans="3:15" s="208" customFormat="1" x14ac:dyDescent="0.2">
      <c r="C241" s="322"/>
      <c r="D241" s="322"/>
      <c r="E241" s="322"/>
      <c r="F241" s="322"/>
      <c r="G241" s="322"/>
      <c r="H241" s="322"/>
      <c r="I241" s="322"/>
      <c r="J241" s="322"/>
      <c r="K241" s="322"/>
      <c r="L241" s="322"/>
      <c r="M241" s="322"/>
      <c r="N241" s="322"/>
      <c r="O241" s="323"/>
    </row>
    <row r="242" spans="3:15" s="208" customFormat="1" x14ac:dyDescent="0.2">
      <c r="C242" s="322"/>
      <c r="D242" s="322"/>
      <c r="E242" s="322"/>
      <c r="F242" s="322"/>
      <c r="G242" s="322"/>
      <c r="H242" s="322"/>
      <c r="I242" s="322"/>
      <c r="J242" s="322"/>
      <c r="K242" s="322"/>
      <c r="L242" s="322"/>
      <c r="M242" s="322"/>
      <c r="N242" s="322"/>
      <c r="O242" s="323"/>
    </row>
    <row r="243" spans="3:15" s="208" customFormat="1" x14ac:dyDescent="0.2">
      <c r="C243" s="322"/>
      <c r="D243" s="322"/>
      <c r="E243" s="322"/>
      <c r="F243" s="322"/>
      <c r="G243" s="322"/>
      <c r="H243" s="322"/>
      <c r="I243" s="322"/>
      <c r="J243" s="322"/>
      <c r="K243" s="322"/>
      <c r="L243" s="322"/>
      <c r="M243" s="322"/>
      <c r="N243" s="322"/>
      <c r="O243" s="323"/>
    </row>
    <row r="244" spans="3:15" s="208" customFormat="1" x14ac:dyDescent="0.2">
      <c r="C244" s="322"/>
      <c r="D244" s="322"/>
      <c r="E244" s="322"/>
      <c r="F244" s="322"/>
      <c r="G244" s="322"/>
      <c r="H244" s="322"/>
      <c r="I244" s="322"/>
      <c r="J244" s="322"/>
      <c r="K244" s="322"/>
      <c r="L244" s="322"/>
      <c r="M244" s="322"/>
      <c r="N244" s="322"/>
      <c r="O244" s="323"/>
    </row>
    <row r="245" spans="3:15" s="208" customFormat="1" x14ac:dyDescent="0.2">
      <c r="C245" s="322"/>
      <c r="D245" s="322"/>
      <c r="E245" s="322"/>
      <c r="F245" s="322"/>
      <c r="G245" s="322"/>
      <c r="H245" s="322"/>
      <c r="I245" s="322"/>
      <c r="J245" s="322"/>
      <c r="K245" s="322"/>
      <c r="L245" s="322"/>
      <c r="M245" s="322"/>
      <c r="N245" s="322"/>
      <c r="O245" s="323"/>
    </row>
    <row r="246" spans="3:15" s="208" customFormat="1" x14ac:dyDescent="0.2">
      <c r="C246" s="322"/>
      <c r="D246" s="322"/>
      <c r="E246" s="322"/>
      <c r="F246" s="322"/>
      <c r="G246" s="322"/>
      <c r="H246" s="322"/>
      <c r="I246" s="322"/>
      <c r="J246" s="322"/>
      <c r="K246" s="322"/>
      <c r="L246" s="322"/>
      <c r="M246" s="322"/>
      <c r="N246" s="322"/>
      <c r="O246" s="323"/>
    </row>
    <row r="247" spans="3:15" s="208" customFormat="1" x14ac:dyDescent="0.2">
      <c r="C247" s="322"/>
      <c r="D247" s="322"/>
      <c r="E247" s="322"/>
      <c r="F247" s="322"/>
      <c r="G247" s="322"/>
      <c r="H247" s="322"/>
      <c r="I247" s="322"/>
      <c r="J247" s="322"/>
      <c r="K247" s="322"/>
      <c r="L247" s="322"/>
      <c r="M247" s="322"/>
      <c r="N247" s="322"/>
      <c r="O247" s="323"/>
    </row>
    <row r="248" spans="3:15" s="208" customFormat="1" x14ac:dyDescent="0.2">
      <c r="C248" s="322"/>
      <c r="D248" s="322"/>
      <c r="E248" s="322"/>
      <c r="F248" s="322"/>
      <c r="G248" s="322"/>
      <c r="H248" s="322"/>
      <c r="I248" s="322"/>
      <c r="J248" s="322"/>
      <c r="K248" s="322"/>
      <c r="L248" s="322"/>
      <c r="M248" s="322"/>
      <c r="N248" s="322"/>
      <c r="O248" s="323"/>
    </row>
    <row r="249" spans="3:15" s="208" customFormat="1" x14ac:dyDescent="0.2">
      <c r="C249" s="322"/>
      <c r="D249" s="322"/>
      <c r="E249" s="322"/>
      <c r="F249" s="322"/>
      <c r="G249" s="322"/>
      <c r="H249" s="322"/>
      <c r="I249" s="322"/>
      <c r="J249" s="322"/>
      <c r="K249" s="322"/>
      <c r="L249" s="322"/>
      <c r="M249" s="322"/>
      <c r="N249" s="322"/>
      <c r="O249" s="323"/>
    </row>
    <row r="250" spans="3:15" s="208" customFormat="1" x14ac:dyDescent="0.2">
      <c r="C250" s="322"/>
      <c r="D250" s="322"/>
      <c r="E250" s="322"/>
      <c r="F250" s="322"/>
      <c r="G250" s="322"/>
      <c r="H250" s="322"/>
      <c r="I250" s="322"/>
      <c r="J250" s="322"/>
      <c r="K250" s="322"/>
      <c r="L250" s="322"/>
      <c r="M250" s="322"/>
      <c r="N250" s="322"/>
      <c r="O250" s="323"/>
    </row>
    <row r="251" spans="3:15" s="208" customFormat="1" x14ac:dyDescent="0.2">
      <c r="C251" s="322"/>
      <c r="D251" s="322"/>
      <c r="E251" s="322"/>
      <c r="F251" s="322"/>
      <c r="G251" s="322"/>
      <c r="H251" s="322"/>
      <c r="I251" s="322"/>
      <c r="J251" s="322"/>
      <c r="K251" s="322"/>
      <c r="L251" s="322"/>
      <c r="M251" s="322"/>
      <c r="N251" s="322"/>
      <c r="O251" s="323"/>
    </row>
    <row r="252" spans="3:15" s="208" customFormat="1" x14ac:dyDescent="0.2">
      <c r="C252" s="322"/>
      <c r="D252" s="322"/>
      <c r="E252" s="322"/>
      <c r="F252" s="322"/>
      <c r="G252" s="322"/>
      <c r="H252" s="322"/>
      <c r="I252" s="322"/>
      <c r="J252" s="322"/>
      <c r="K252" s="322"/>
      <c r="L252" s="322"/>
      <c r="M252" s="322"/>
      <c r="N252" s="322"/>
      <c r="O252" s="323"/>
    </row>
    <row r="253" spans="3:15" s="208" customFormat="1" x14ac:dyDescent="0.2">
      <c r="C253" s="322"/>
      <c r="D253" s="322"/>
      <c r="E253" s="322"/>
      <c r="F253" s="322"/>
      <c r="G253" s="322"/>
      <c r="H253" s="322"/>
      <c r="I253" s="322"/>
      <c r="J253" s="322"/>
      <c r="K253" s="322"/>
      <c r="L253" s="322"/>
      <c r="M253" s="322"/>
      <c r="N253" s="322"/>
      <c r="O253" s="323"/>
    </row>
    <row r="254" spans="3:15" s="208" customFormat="1" x14ac:dyDescent="0.2">
      <c r="C254" s="322"/>
      <c r="D254" s="322"/>
      <c r="E254" s="322"/>
      <c r="F254" s="322"/>
      <c r="G254" s="322"/>
      <c r="H254" s="322"/>
      <c r="I254" s="322"/>
      <c r="J254" s="322"/>
      <c r="K254" s="322"/>
      <c r="L254" s="322"/>
      <c r="M254" s="322"/>
      <c r="N254" s="322"/>
      <c r="O254" s="323"/>
    </row>
    <row r="255" spans="3:15" s="208" customFormat="1" x14ac:dyDescent="0.2">
      <c r="C255" s="322"/>
      <c r="D255" s="322"/>
      <c r="E255" s="322"/>
      <c r="F255" s="322"/>
      <c r="G255" s="322"/>
      <c r="H255" s="322"/>
      <c r="I255" s="322"/>
      <c r="J255" s="322"/>
      <c r="K255" s="322"/>
      <c r="L255" s="322"/>
      <c r="M255" s="322"/>
      <c r="N255" s="322"/>
      <c r="O255" s="323"/>
    </row>
    <row r="256" spans="3:15" s="208" customFormat="1" x14ac:dyDescent="0.2">
      <c r="C256" s="322"/>
      <c r="D256" s="322"/>
      <c r="E256" s="322"/>
      <c r="F256" s="322"/>
      <c r="G256" s="322"/>
      <c r="H256" s="322"/>
      <c r="I256" s="322"/>
      <c r="J256" s="322"/>
      <c r="K256" s="322"/>
      <c r="L256" s="322"/>
      <c r="M256" s="322"/>
      <c r="N256" s="322"/>
      <c r="O256" s="323"/>
    </row>
    <row r="257" spans="3:15" s="208" customFormat="1" x14ac:dyDescent="0.2">
      <c r="C257" s="322"/>
      <c r="D257" s="322"/>
      <c r="E257" s="322"/>
      <c r="F257" s="322"/>
      <c r="G257" s="322"/>
      <c r="H257" s="322"/>
      <c r="I257" s="322"/>
      <c r="J257" s="322"/>
      <c r="K257" s="322"/>
      <c r="L257" s="322"/>
      <c r="M257" s="322"/>
      <c r="N257" s="322"/>
      <c r="O257" s="323"/>
    </row>
    <row r="258" spans="3:15" s="208" customFormat="1" x14ac:dyDescent="0.2">
      <c r="C258" s="322"/>
      <c r="D258" s="322"/>
      <c r="E258" s="322"/>
      <c r="F258" s="322"/>
      <c r="G258" s="322"/>
      <c r="H258" s="322"/>
      <c r="I258" s="322"/>
      <c r="J258" s="322"/>
      <c r="K258" s="322"/>
      <c r="L258" s="322"/>
      <c r="M258" s="322"/>
      <c r="N258" s="322"/>
      <c r="O258" s="323"/>
    </row>
    <row r="259" spans="3:15" s="208" customFormat="1" x14ac:dyDescent="0.2">
      <c r="C259" s="322"/>
      <c r="D259" s="322"/>
      <c r="E259" s="322"/>
      <c r="F259" s="322"/>
      <c r="G259" s="322"/>
      <c r="H259" s="322"/>
      <c r="I259" s="322"/>
      <c r="J259" s="322"/>
      <c r="K259" s="322"/>
      <c r="L259" s="322"/>
      <c r="M259" s="322"/>
      <c r="N259" s="322"/>
      <c r="O259" s="323"/>
    </row>
    <row r="260" spans="3:15" s="208" customFormat="1" x14ac:dyDescent="0.2">
      <c r="C260" s="322"/>
      <c r="D260" s="322"/>
      <c r="E260" s="322"/>
      <c r="F260" s="322"/>
      <c r="G260" s="322"/>
      <c r="H260" s="322"/>
      <c r="I260" s="322"/>
      <c r="J260" s="322"/>
      <c r="K260" s="322"/>
      <c r="L260" s="322"/>
      <c r="M260" s="322"/>
      <c r="N260" s="322"/>
      <c r="O260" s="323"/>
    </row>
    <row r="261" spans="3:15" s="208" customFormat="1" x14ac:dyDescent="0.2">
      <c r="C261" s="322"/>
      <c r="D261" s="322"/>
      <c r="E261" s="322"/>
      <c r="F261" s="322"/>
      <c r="G261" s="322"/>
      <c r="H261" s="322"/>
      <c r="I261" s="322"/>
      <c r="J261" s="322"/>
      <c r="K261" s="322"/>
      <c r="L261" s="322"/>
      <c r="M261" s="322"/>
      <c r="N261" s="322"/>
      <c r="O261" s="323"/>
    </row>
    <row r="262" spans="3:15" s="208" customFormat="1" x14ac:dyDescent="0.2">
      <c r="C262" s="322"/>
      <c r="D262" s="322"/>
      <c r="E262" s="322"/>
      <c r="F262" s="322"/>
      <c r="G262" s="322"/>
      <c r="H262" s="322"/>
      <c r="I262" s="322"/>
      <c r="J262" s="322"/>
      <c r="K262" s="322"/>
      <c r="L262" s="322"/>
      <c r="M262" s="322"/>
      <c r="N262" s="322"/>
      <c r="O262" s="323"/>
    </row>
    <row r="263" spans="3:15" s="208" customFormat="1" x14ac:dyDescent="0.2">
      <c r="C263" s="322"/>
      <c r="D263" s="322"/>
      <c r="E263" s="322"/>
      <c r="F263" s="322"/>
      <c r="G263" s="322"/>
      <c r="H263" s="322"/>
      <c r="I263" s="322"/>
      <c r="J263" s="322"/>
      <c r="K263" s="322"/>
      <c r="L263" s="322"/>
      <c r="M263" s="322"/>
      <c r="N263" s="322"/>
      <c r="O263" s="323"/>
    </row>
    <row r="264" spans="3:15" s="208" customFormat="1" x14ac:dyDescent="0.2">
      <c r="C264" s="322"/>
      <c r="D264" s="322"/>
      <c r="E264" s="322"/>
      <c r="F264" s="322"/>
      <c r="G264" s="322"/>
      <c r="H264" s="322"/>
      <c r="I264" s="322"/>
      <c r="J264" s="322"/>
      <c r="K264" s="322"/>
      <c r="L264" s="322"/>
      <c r="M264" s="322"/>
      <c r="N264" s="322"/>
      <c r="O264" s="323"/>
    </row>
    <row r="265" spans="3:15" s="208" customFormat="1" x14ac:dyDescent="0.2">
      <c r="C265" s="322"/>
      <c r="D265" s="322"/>
      <c r="E265" s="322"/>
      <c r="F265" s="322"/>
      <c r="G265" s="322"/>
      <c r="H265" s="322"/>
      <c r="I265" s="322"/>
      <c r="J265" s="322"/>
      <c r="K265" s="322"/>
      <c r="L265" s="322"/>
      <c r="M265" s="322"/>
      <c r="N265" s="322"/>
      <c r="O265" s="323"/>
    </row>
    <row r="266" spans="3:15" s="208" customFormat="1" x14ac:dyDescent="0.2">
      <c r="C266" s="322"/>
      <c r="D266" s="322"/>
      <c r="E266" s="322"/>
      <c r="F266" s="322"/>
      <c r="G266" s="322"/>
      <c r="H266" s="322"/>
      <c r="I266" s="322"/>
      <c r="J266" s="322"/>
      <c r="K266" s="322"/>
      <c r="L266" s="322"/>
      <c r="M266" s="322"/>
      <c r="N266" s="322"/>
      <c r="O266" s="323"/>
    </row>
    <row r="267" spans="3:15" s="208" customFormat="1" x14ac:dyDescent="0.2">
      <c r="C267" s="322"/>
      <c r="D267" s="322"/>
      <c r="E267" s="322"/>
      <c r="F267" s="322"/>
      <c r="G267" s="322"/>
      <c r="H267" s="322"/>
      <c r="I267" s="322"/>
      <c r="J267" s="322"/>
      <c r="K267" s="322"/>
      <c r="L267" s="322"/>
      <c r="M267" s="322"/>
      <c r="N267" s="322"/>
      <c r="O267" s="323"/>
    </row>
    <row r="268" spans="3:15" s="208" customFormat="1" x14ac:dyDescent="0.2">
      <c r="C268" s="322"/>
      <c r="D268" s="322"/>
      <c r="E268" s="322"/>
      <c r="F268" s="322"/>
      <c r="G268" s="322"/>
      <c r="H268" s="322"/>
      <c r="I268" s="322"/>
      <c r="J268" s="322"/>
      <c r="K268" s="322"/>
      <c r="L268" s="322"/>
      <c r="M268" s="322"/>
      <c r="N268" s="322"/>
      <c r="O268" s="323"/>
    </row>
    <row r="269" spans="3:15" s="208" customFormat="1" x14ac:dyDescent="0.2">
      <c r="C269" s="322"/>
      <c r="D269" s="322"/>
      <c r="E269" s="322"/>
      <c r="F269" s="322"/>
      <c r="G269" s="322"/>
      <c r="H269" s="322"/>
      <c r="I269" s="322"/>
      <c r="J269" s="322"/>
      <c r="K269" s="322"/>
      <c r="L269" s="322"/>
      <c r="M269" s="322"/>
      <c r="N269" s="322"/>
      <c r="O269" s="323"/>
    </row>
    <row r="270" spans="3:15" s="208" customFormat="1" x14ac:dyDescent="0.2">
      <c r="C270" s="322"/>
      <c r="D270" s="322"/>
      <c r="E270" s="322"/>
      <c r="F270" s="322"/>
      <c r="G270" s="322"/>
      <c r="H270" s="322"/>
      <c r="I270" s="322"/>
      <c r="J270" s="322"/>
      <c r="K270" s="322"/>
      <c r="L270" s="322"/>
      <c r="M270" s="322"/>
      <c r="N270" s="322"/>
      <c r="O270" s="323"/>
    </row>
    <row r="271" spans="3:15" s="208" customFormat="1" x14ac:dyDescent="0.2">
      <c r="C271" s="322"/>
      <c r="D271" s="322"/>
      <c r="E271" s="322"/>
      <c r="F271" s="322"/>
      <c r="G271" s="322"/>
      <c r="H271" s="322"/>
      <c r="I271" s="322"/>
      <c r="J271" s="322"/>
      <c r="K271" s="322"/>
      <c r="L271" s="322"/>
      <c r="M271" s="322"/>
      <c r="N271" s="322"/>
      <c r="O271" s="323"/>
    </row>
    <row r="272" spans="3:15" s="208" customFormat="1" x14ac:dyDescent="0.2">
      <c r="C272" s="322"/>
      <c r="D272" s="322"/>
      <c r="E272" s="322"/>
      <c r="F272" s="322"/>
      <c r="G272" s="322"/>
      <c r="H272" s="322"/>
      <c r="I272" s="322"/>
      <c r="J272" s="322"/>
      <c r="K272" s="322"/>
      <c r="L272" s="322"/>
      <c r="M272" s="322"/>
      <c r="N272" s="322"/>
      <c r="O272" s="323"/>
    </row>
    <row r="273" spans="3:15" s="208" customFormat="1" x14ac:dyDescent="0.2">
      <c r="C273" s="322"/>
      <c r="D273" s="322"/>
      <c r="E273" s="322"/>
      <c r="F273" s="322"/>
      <c r="G273" s="322"/>
      <c r="H273" s="322"/>
      <c r="I273" s="322"/>
      <c r="J273" s="322"/>
      <c r="K273" s="322"/>
      <c r="L273" s="322"/>
      <c r="M273" s="322"/>
      <c r="N273" s="322"/>
      <c r="O273" s="323"/>
    </row>
    <row r="274" spans="3:15" s="208" customFormat="1" x14ac:dyDescent="0.2">
      <c r="C274" s="322"/>
      <c r="D274" s="322"/>
      <c r="E274" s="322"/>
      <c r="F274" s="322"/>
      <c r="G274" s="322"/>
      <c r="H274" s="322"/>
      <c r="I274" s="322"/>
      <c r="J274" s="322"/>
      <c r="K274" s="322"/>
      <c r="L274" s="322"/>
      <c r="M274" s="322"/>
      <c r="N274" s="322"/>
      <c r="O274" s="323"/>
    </row>
    <row r="275" spans="3:15" s="208" customFormat="1" x14ac:dyDescent="0.2">
      <c r="C275" s="322"/>
      <c r="D275" s="322"/>
      <c r="E275" s="322"/>
      <c r="F275" s="322"/>
      <c r="G275" s="322"/>
      <c r="H275" s="322"/>
      <c r="I275" s="322"/>
      <c r="J275" s="322"/>
      <c r="K275" s="322"/>
      <c r="L275" s="322"/>
      <c r="M275" s="322"/>
      <c r="N275" s="322"/>
      <c r="O275" s="323"/>
    </row>
    <row r="276" spans="3:15" s="208" customFormat="1" x14ac:dyDescent="0.2">
      <c r="C276" s="322"/>
      <c r="D276" s="322"/>
      <c r="E276" s="322"/>
      <c r="F276" s="322"/>
      <c r="G276" s="322"/>
      <c r="H276" s="322"/>
      <c r="I276" s="322"/>
      <c r="J276" s="322"/>
      <c r="K276" s="322"/>
      <c r="L276" s="322"/>
      <c r="M276" s="322"/>
      <c r="N276" s="322"/>
      <c r="O276" s="323"/>
    </row>
    <row r="277" spans="3:15" s="208" customFormat="1" x14ac:dyDescent="0.2">
      <c r="C277" s="322"/>
      <c r="D277" s="322"/>
      <c r="E277" s="322"/>
      <c r="F277" s="322"/>
      <c r="G277" s="322"/>
      <c r="H277" s="322"/>
      <c r="I277" s="322"/>
      <c r="J277" s="322"/>
      <c r="K277" s="322"/>
      <c r="L277" s="322"/>
      <c r="M277" s="322"/>
      <c r="N277" s="322"/>
      <c r="O277" s="323"/>
    </row>
    <row r="278" spans="3:15" s="208" customFormat="1" x14ac:dyDescent="0.2">
      <c r="C278" s="322"/>
      <c r="D278" s="322"/>
      <c r="E278" s="322"/>
      <c r="F278" s="322"/>
      <c r="G278" s="322"/>
      <c r="H278" s="322"/>
      <c r="I278" s="322"/>
      <c r="J278" s="322"/>
      <c r="K278" s="322"/>
      <c r="L278" s="322"/>
      <c r="M278" s="322"/>
      <c r="N278" s="322"/>
      <c r="O278" s="323"/>
    </row>
    <row r="279" spans="3:15" s="208" customFormat="1" x14ac:dyDescent="0.2">
      <c r="C279" s="322"/>
      <c r="D279" s="322"/>
      <c r="E279" s="322"/>
      <c r="F279" s="322"/>
      <c r="G279" s="322"/>
      <c r="H279" s="322"/>
      <c r="I279" s="322"/>
      <c r="J279" s="322"/>
      <c r="K279" s="322"/>
      <c r="L279" s="322"/>
      <c r="M279" s="322"/>
      <c r="N279" s="322"/>
      <c r="O279" s="323"/>
    </row>
    <row r="280" spans="3:15" s="208" customFormat="1" x14ac:dyDescent="0.2">
      <c r="C280" s="322"/>
      <c r="D280" s="322"/>
      <c r="E280" s="322"/>
      <c r="F280" s="322"/>
      <c r="G280" s="322"/>
      <c r="H280" s="322"/>
      <c r="I280" s="322"/>
      <c r="J280" s="322"/>
      <c r="K280" s="322"/>
      <c r="L280" s="322"/>
      <c r="M280" s="322"/>
      <c r="N280" s="322"/>
      <c r="O280" s="323"/>
    </row>
    <row r="281" spans="3:15" s="208" customFormat="1" x14ac:dyDescent="0.2">
      <c r="C281" s="322"/>
      <c r="D281" s="322"/>
      <c r="E281" s="322"/>
      <c r="F281" s="322"/>
      <c r="G281" s="322"/>
      <c r="H281" s="322"/>
      <c r="I281" s="322"/>
      <c r="J281" s="322"/>
      <c r="K281" s="322"/>
      <c r="L281" s="322"/>
      <c r="M281" s="322"/>
      <c r="N281" s="322"/>
      <c r="O281" s="323"/>
    </row>
    <row r="282" spans="3:15" s="208" customFormat="1" x14ac:dyDescent="0.2">
      <c r="C282" s="322"/>
      <c r="D282" s="322"/>
      <c r="E282" s="322"/>
      <c r="F282" s="322"/>
      <c r="G282" s="322"/>
      <c r="H282" s="322"/>
      <c r="I282" s="322"/>
      <c r="J282" s="322"/>
      <c r="K282" s="322"/>
      <c r="L282" s="322"/>
      <c r="M282" s="322"/>
      <c r="N282" s="322"/>
      <c r="O282" s="323"/>
    </row>
    <row r="283" spans="3:15" s="208" customFormat="1" x14ac:dyDescent="0.2">
      <c r="C283" s="322"/>
      <c r="D283" s="322"/>
      <c r="E283" s="322"/>
      <c r="F283" s="322"/>
      <c r="G283" s="322"/>
      <c r="H283" s="322"/>
      <c r="I283" s="322"/>
      <c r="J283" s="322"/>
      <c r="K283" s="322"/>
      <c r="L283" s="322"/>
      <c r="M283" s="322"/>
      <c r="N283" s="322"/>
      <c r="O283" s="323"/>
    </row>
    <row r="284" spans="3:15" s="208" customFormat="1" x14ac:dyDescent="0.2">
      <c r="C284" s="322"/>
      <c r="D284" s="322"/>
      <c r="E284" s="322"/>
      <c r="F284" s="322"/>
      <c r="G284" s="322"/>
      <c r="H284" s="322"/>
      <c r="I284" s="322"/>
      <c r="J284" s="322"/>
      <c r="K284" s="322"/>
      <c r="L284" s="322"/>
      <c r="M284" s="322"/>
      <c r="N284" s="322"/>
      <c r="O284" s="323"/>
    </row>
    <row r="285" spans="3:15" s="208" customFormat="1" x14ac:dyDescent="0.2">
      <c r="C285" s="322"/>
      <c r="D285" s="322"/>
      <c r="E285" s="322"/>
      <c r="F285" s="322"/>
      <c r="G285" s="322"/>
      <c r="H285" s="322"/>
      <c r="I285" s="322"/>
      <c r="J285" s="322"/>
      <c r="K285" s="322"/>
      <c r="L285" s="322"/>
      <c r="M285" s="322"/>
      <c r="N285" s="322"/>
      <c r="O285" s="323"/>
    </row>
    <row r="286" spans="3:15" s="208" customFormat="1" x14ac:dyDescent="0.2">
      <c r="C286" s="322"/>
      <c r="D286" s="322"/>
      <c r="E286" s="322"/>
      <c r="F286" s="322"/>
      <c r="G286" s="322"/>
      <c r="H286" s="322"/>
      <c r="I286" s="322"/>
      <c r="J286" s="322"/>
      <c r="K286" s="322"/>
      <c r="L286" s="322"/>
      <c r="M286" s="322"/>
      <c r="N286" s="322"/>
      <c r="O286" s="323"/>
    </row>
    <row r="287" spans="3:15" s="208" customFormat="1" x14ac:dyDescent="0.2">
      <c r="C287" s="322"/>
      <c r="D287" s="322"/>
      <c r="E287" s="322"/>
      <c r="F287" s="322"/>
      <c r="G287" s="322"/>
      <c r="H287" s="322"/>
      <c r="I287" s="322"/>
      <c r="J287" s="322"/>
      <c r="K287" s="322"/>
      <c r="L287" s="322"/>
      <c r="M287" s="322"/>
      <c r="N287" s="322"/>
      <c r="O287" s="323"/>
    </row>
    <row r="288" spans="3:15" s="208" customFormat="1" x14ac:dyDescent="0.2">
      <c r="C288" s="322"/>
      <c r="D288" s="322"/>
      <c r="E288" s="322"/>
      <c r="F288" s="322"/>
      <c r="G288" s="322"/>
      <c r="H288" s="322"/>
      <c r="I288" s="322"/>
      <c r="J288" s="322"/>
      <c r="K288" s="322"/>
      <c r="L288" s="322"/>
      <c r="M288" s="322"/>
      <c r="N288" s="322"/>
      <c r="O288" s="323"/>
    </row>
    <row r="289" spans="3:15" s="208" customFormat="1" x14ac:dyDescent="0.2">
      <c r="C289" s="322"/>
      <c r="D289" s="322"/>
      <c r="E289" s="322"/>
      <c r="F289" s="322"/>
      <c r="G289" s="322"/>
      <c r="H289" s="322"/>
      <c r="I289" s="322"/>
      <c r="J289" s="322"/>
      <c r="K289" s="322"/>
      <c r="L289" s="322"/>
      <c r="M289" s="322"/>
      <c r="N289" s="322"/>
      <c r="O289" s="323"/>
    </row>
    <row r="290" spans="3:15" s="208" customFormat="1" x14ac:dyDescent="0.2">
      <c r="C290" s="322"/>
      <c r="D290" s="322"/>
      <c r="E290" s="322"/>
      <c r="F290" s="322"/>
      <c r="G290" s="322"/>
      <c r="H290" s="322"/>
      <c r="I290" s="322"/>
      <c r="J290" s="322"/>
      <c r="K290" s="322"/>
      <c r="L290" s="322"/>
      <c r="M290" s="322"/>
      <c r="N290" s="322"/>
      <c r="O290" s="323"/>
    </row>
    <row r="291" spans="3:15" s="208" customFormat="1" x14ac:dyDescent="0.2">
      <c r="C291" s="322"/>
      <c r="D291" s="322"/>
      <c r="E291" s="322"/>
      <c r="F291" s="322"/>
      <c r="G291" s="322"/>
      <c r="H291" s="322"/>
      <c r="I291" s="322"/>
      <c r="J291" s="322"/>
      <c r="K291" s="322"/>
      <c r="L291" s="322"/>
      <c r="M291" s="322"/>
      <c r="N291" s="322"/>
      <c r="O291" s="323"/>
    </row>
    <row r="292" spans="3:15" s="208" customFormat="1" x14ac:dyDescent="0.2">
      <c r="C292" s="322"/>
      <c r="D292" s="322"/>
      <c r="E292" s="322"/>
      <c r="F292" s="322"/>
      <c r="G292" s="322"/>
      <c r="H292" s="322"/>
      <c r="I292" s="322"/>
      <c r="J292" s="322"/>
      <c r="K292" s="322"/>
      <c r="L292" s="322"/>
      <c r="M292" s="322"/>
      <c r="N292" s="322"/>
      <c r="O292" s="323"/>
    </row>
    <row r="293" spans="3:15" s="208" customFormat="1" x14ac:dyDescent="0.2">
      <c r="C293" s="322"/>
      <c r="D293" s="322"/>
      <c r="E293" s="322"/>
      <c r="F293" s="322"/>
      <c r="G293" s="322"/>
      <c r="H293" s="322"/>
      <c r="I293" s="322"/>
      <c r="J293" s="322"/>
      <c r="K293" s="322"/>
      <c r="L293" s="322"/>
      <c r="M293" s="322"/>
      <c r="N293" s="322"/>
      <c r="O293" s="323"/>
    </row>
    <row r="294" spans="3:15" s="208" customFormat="1" x14ac:dyDescent="0.2">
      <c r="C294" s="322"/>
      <c r="D294" s="322"/>
      <c r="E294" s="322"/>
      <c r="F294" s="322"/>
      <c r="G294" s="322"/>
      <c r="H294" s="322"/>
      <c r="I294" s="322"/>
      <c r="J294" s="322"/>
      <c r="K294" s="322"/>
      <c r="L294" s="322"/>
      <c r="M294" s="322"/>
      <c r="N294" s="322"/>
      <c r="O294" s="323"/>
    </row>
    <row r="295" spans="3:15" s="208" customFormat="1" x14ac:dyDescent="0.2">
      <c r="C295" s="322"/>
      <c r="D295" s="322"/>
      <c r="E295" s="322"/>
      <c r="F295" s="322"/>
      <c r="G295" s="322"/>
      <c r="H295" s="322"/>
      <c r="I295" s="322"/>
      <c r="J295" s="322"/>
      <c r="K295" s="322"/>
      <c r="L295" s="322"/>
      <c r="M295" s="322"/>
      <c r="N295" s="322"/>
      <c r="O295" s="323"/>
    </row>
    <row r="296" spans="3:15" s="208" customFormat="1" x14ac:dyDescent="0.2">
      <c r="C296" s="322"/>
      <c r="D296" s="322"/>
      <c r="E296" s="322"/>
      <c r="F296" s="322"/>
      <c r="G296" s="322"/>
      <c r="H296" s="322"/>
      <c r="I296" s="322"/>
      <c r="J296" s="322"/>
      <c r="K296" s="322"/>
      <c r="L296" s="322"/>
      <c r="M296" s="322"/>
      <c r="N296" s="322"/>
      <c r="O296" s="323"/>
    </row>
    <row r="297" spans="3:15" s="208" customFormat="1" x14ac:dyDescent="0.2">
      <c r="C297" s="322"/>
      <c r="D297" s="322"/>
      <c r="E297" s="322"/>
      <c r="F297" s="322"/>
      <c r="G297" s="322"/>
      <c r="H297" s="322"/>
      <c r="I297" s="322"/>
      <c r="J297" s="322"/>
      <c r="K297" s="322"/>
      <c r="L297" s="322"/>
      <c r="M297" s="322"/>
      <c r="N297" s="322"/>
      <c r="O297" s="323"/>
    </row>
    <row r="298" spans="3:15" s="208" customFormat="1" x14ac:dyDescent="0.2">
      <c r="C298" s="322"/>
      <c r="D298" s="322"/>
      <c r="E298" s="322"/>
      <c r="F298" s="322"/>
      <c r="G298" s="322"/>
      <c r="H298" s="322"/>
      <c r="I298" s="322"/>
      <c r="J298" s="322"/>
      <c r="K298" s="322"/>
      <c r="L298" s="322"/>
      <c r="M298" s="322"/>
      <c r="N298" s="322"/>
      <c r="O298" s="323"/>
    </row>
    <row r="299" spans="3:15" s="208" customFormat="1" x14ac:dyDescent="0.2">
      <c r="C299" s="322"/>
      <c r="D299" s="322"/>
      <c r="E299" s="322"/>
      <c r="F299" s="322"/>
      <c r="G299" s="322"/>
      <c r="H299" s="322"/>
      <c r="I299" s="322"/>
      <c r="J299" s="322"/>
      <c r="K299" s="322"/>
      <c r="L299" s="322"/>
      <c r="M299" s="322"/>
      <c r="N299" s="322"/>
      <c r="O299" s="323"/>
    </row>
    <row r="300" spans="3:15" s="208" customFormat="1" x14ac:dyDescent="0.2">
      <c r="C300" s="322"/>
      <c r="D300" s="322"/>
      <c r="E300" s="322"/>
      <c r="F300" s="322"/>
      <c r="G300" s="322"/>
      <c r="H300" s="322"/>
      <c r="I300" s="322"/>
      <c r="J300" s="322"/>
      <c r="K300" s="322"/>
      <c r="L300" s="322"/>
      <c r="M300" s="322"/>
      <c r="N300" s="322"/>
      <c r="O300" s="323"/>
    </row>
    <row r="301" spans="3:15" s="208" customFormat="1" x14ac:dyDescent="0.2">
      <c r="C301" s="322"/>
      <c r="D301" s="322"/>
      <c r="E301" s="322"/>
      <c r="F301" s="322"/>
      <c r="G301" s="322"/>
      <c r="H301" s="322"/>
      <c r="I301" s="322"/>
      <c r="J301" s="322"/>
      <c r="K301" s="322"/>
      <c r="L301" s="322"/>
      <c r="M301" s="322"/>
      <c r="N301" s="322"/>
      <c r="O301" s="323"/>
    </row>
    <row r="302" spans="3:15" s="208" customFormat="1" x14ac:dyDescent="0.2">
      <c r="C302" s="322"/>
      <c r="D302" s="322"/>
      <c r="E302" s="322"/>
      <c r="F302" s="322"/>
      <c r="G302" s="322"/>
      <c r="H302" s="322"/>
      <c r="I302" s="322"/>
      <c r="J302" s="322"/>
      <c r="K302" s="322"/>
      <c r="L302" s="322"/>
      <c r="M302" s="322"/>
      <c r="N302" s="322"/>
      <c r="O302" s="323"/>
    </row>
    <row r="303" spans="3:15" s="208" customFormat="1" x14ac:dyDescent="0.2">
      <c r="C303" s="322"/>
      <c r="D303" s="322"/>
      <c r="E303" s="322"/>
      <c r="F303" s="322"/>
      <c r="G303" s="322"/>
      <c r="H303" s="322"/>
      <c r="I303" s="322"/>
      <c r="J303" s="322"/>
      <c r="K303" s="322"/>
      <c r="L303" s="322"/>
      <c r="M303" s="322"/>
      <c r="N303" s="322"/>
      <c r="O303" s="323"/>
    </row>
    <row r="304" spans="3:15" s="208" customFormat="1" x14ac:dyDescent="0.2">
      <c r="C304" s="322"/>
      <c r="D304" s="322"/>
      <c r="E304" s="322"/>
      <c r="F304" s="322"/>
      <c r="G304" s="322"/>
      <c r="H304" s="322"/>
      <c r="I304" s="322"/>
      <c r="J304" s="322"/>
      <c r="K304" s="322"/>
      <c r="L304" s="322"/>
      <c r="M304" s="322"/>
      <c r="N304" s="322"/>
      <c r="O304" s="323"/>
    </row>
    <row r="305" spans="3:15" s="208" customFormat="1" x14ac:dyDescent="0.2">
      <c r="C305" s="322"/>
      <c r="D305" s="322"/>
      <c r="E305" s="322"/>
      <c r="F305" s="322"/>
      <c r="G305" s="322"/>
      <c r="H305" s="322"/>
      <c r="I305" s="322"/>
      <c r="J305" s="322"/>
      <c r="K305" s="322"/>
      <c r="L305" s="322"/>
      <c r="M305" s="322"/>
      <c r="N305" s="322"/>
      <c r="O305" s="323"/>
    </row>
    <row r="306" spans="3:15" s="208" customFormat="1" x14ac:dyDescent="0.2">
      <c r="C306" s="322"/>
      <c r="D306" s="322"/>
      <c r="E306" s="322"/>
      <c r="F306" s="322"/>
      <c r="G306" s="322"/>
      <c r="H306" s="322"/>
      <c r="I306" s="322"/>
      <c r="J306" s="322"/>
      <c r="K306" s="322"/>
      <c r="L306" s="322"/>
      <c r="M306" s="322"/>
      <c r="N306" s="322"/>
      <c r="O306" s="323"/>
    </row>
    <row r="307" spans="3:15" s="208" customFormat="1" x14ac:dyDescent="0.2">
      <c r="C307" s="322"/>
      <c r="D307" s="322"/>
      <c r="E307" s="322"/>
      <c r="F307" s="322"/>
      <c r="G307" s="322"/>
      <c r="H307" s="322"/>
      <c r="I307" s="322"/>
      <c r="J307" s="322"/>
      <c r="K307" s="322"/>
      <c r="L307" s="322"/>
      <c r="M307" s="322"/>
      <c r="N307" s="322"/>
      <c r="O307" s="323"/>
    </row>
    <row r="308" spans="3:15" s="208" customFormat="1" x14ac:dyDescent="0.2">
      <c r="C308" s="322"/>
      <c r="D308" s="322"/>
      <c r="E308" s="322"/>
      <c r="F308" s="322"/>
      <c r="G308" s="322"/>
      <c r="H308" s="322"/>
      <c r="I308" s="322"/>
      <c r="J308" s="322"/>
      <c r="K308" s="322"/>
      <c r="L308" s="322"/>
      <c r="M308" s="322"/>
      <c r="N308" s="322"/>
      <c r="O308" s="323"/>
    </row>
    <row r="309" spans="3:15" s="208" customFormat="1" x14ac:dyDescent="0.2">
      <c r="C309" s="322"/>
      <c r="D309" s="322"/>
      <c r="E309" s="322"/>
      <c r="F309" s="322"/>
      <c r="G309" s="322"/>
      <c r="H309" s="322"/>
      <c r="I309" s="322"/>
      <c r="J309" s="322"/>
      <c r="K309" s="322"/>
      <c r="L309" s="322"/>
      <c r="M309" s="322"/>
      <c r="N309" s="322"/>
      <c r="O309" s="323"/>
    </row>
    <row r="310" spans="3:15" s="208" customFormat="1" x14ac:dyDescent="0.2">
      <c r="C310" s="322"/>
      <c r="D310" s="322"/>
      <c r="E310" s="322"/>
      <c r="F310" s="322"/>
      <c r="G310" s="322"/>
      <c r="H310" s="322"/>
      <c r="I310" s="322"/>
      <c r="J310" s="322"/>
      <c r="K310" s="322"/>
      <c r="L310" s="322"/>
      <c r="M310" s="322"/>
      <c r="N310" s="322"/>
      <c r="O310" s="323"/>
    </row>
    <row r="311" spans="3:15" s="208" customFormat="1" x14ac:dyDescent="0.2">
      <c r="C311" s="322"/>
      <c r="D311" s="322"/>
      <c r="E311" s="322"/>
      <c r="F311" s="322"/>
      <c r="G311" s="322"/>
      <c r="H311" s="322"/>
      <c r="I311" s="322"/>
      <c r="J311" s="322"/>
      <c r="K311" s="322"/>
      <c r="L311" s="322"/>
      <c r="M311" s="322"/>
      <c r="N311" s="322"/>
      <c r="O311" s="323"/>
    </row>
    <row r="312" spans="3:15" s="208" customFormat="1" x14ac:dyDescent="0.2">
      <c r="C312" s="322"/>
      <c r="D312" s="322"/>
      <c r="E312" s="322"/>
      <c r="F312" s="322"/>
      <c r="G312" s="322"/>
      <c r="H312" s="322"/>
      <c r="I312" s="322"/>
      <c r="J312" s="322"/>
      <c r="K312" s="322"/>
      <c r="L312" s="322"/>
      <c r="M312" s="322"/>
      <c r="N312" s="322"/>
      <c r="O312" s="323"/>
    </row>
    <row r="313" spans="3:15" s="208" customFormat="1" x14ac:dyDescent="0.2">
      <c r="C313" s="322"/>
      <c r="D313" s="322"/>
      <c r="E313" s="322"/>
      <c r="F313" s="322"/>
      <c r="G313" s="322"/>
      <c r="H313" s="322"/>
      <c r="I313" s="322"/>
      <c r="J313" s="322"/>
      <c r="K313" s="322"/>
      <c r="L313" s="322"/>
      <c r="M313" s="322"/>
      <c r="N313" s="322"/>
      <c r="O313" s="323"/>
    </row>
    <row r="314" spans="3:15" s="208" customFormat="1" x14ac:dyDescent="0.2">
      <c r="C314" s="322"/>
      <c r="D314" s="322"/>
      <c r="E314" s="322"/>
      <c r="F314" s="322"/>
      <c r="G314" s="322"/>
      <c r="H314" s="322"/>
      <c r="I314" s="322"/>
      <c r="J314" s="322"/>
      <c r="K314" s="322"/>
      <c r="L314" s="322"/>
      <c r="M314" s="322"/>
      <c r="N314" s="322"/>
      <c r="O314" s="323"/>
    </row>
    <row r="315" spans="3:15" s="208" customFormat="1" x14ac:dyDescent="0.2">
      <c r="C315" s="322"/>
      <c r="D315" s="322"/>
      <c r="E315" s="322"/>
      <c r="F315" s="322"/>
      <c r="G315" s="322"/>
      <c r="H315" s="322"/>
      <c r="I315" s="322"/>
      <c r="J315" s="322"/>
      <c r="K315" s="322"/>
      <c r="L315" s="322"/>
      <c r="M315" s="322"/>
      <c r="N315" s="322"/>
      <c r="O315" s="323"/>
    </row>
    <row r="316" spans="3:15" s="208" customFormat="1" x14ac:dyDescent="0.2">
      <c r="C316" s="322"/>
      <c r="D316" s="322"/>
      <c r="E316" s="322"/>
      <c r="F316" s="322"/>
      <c r="G316" s="322"/>
      <c r="H316" s="322"/>
      <c r="I316" s="322"/>
      <c r="J316" s="322"/>
      <c r="K316" s="322"/>
      <c r="L316" s="322"/>
      <c r="M316" s="322"/>
      <c r="N316" s="322"/>
      <c r="O316" s="323"/>
    </row>
    <row r="317" spans="3:15" s="208" customFormat="1" x14ac:dyDescent="0.2">
      <c r="C317" s="322"/>
      <c r="D317" s="322"/>
      <c r="E317" s="322"/>
      <c r="F317" s="322"/>
      <c r="G317" s="322"/>
      <c r="H317" s="322"/>
      <c r="I317" s="322"/>
      <c r="J317" s="322"/>
      <c r="K317" s="322"/>
      <c r="L317" s="322"/>
      <c r="M317" s="322"/>
      <c r="N317" s="322"/>
      <c r="O317" s="323"/>
    </row>
    <row r="318" spans="3:15" s="208" customFormat="1" x14ac:dyDescent="0.2">
      <c r="C318" s="322"/>
      <c r="D318" s="322"/>
      <c r="E318" s="322"/>
      <c r="F318" s="322"/>
      <c r="G318" s="322"/>
      <c r="H318" s="322"/>
      <c r="I318" s="322"/>
      <c r="J318" s="322"/>
      <c r="K318" s="322"/>
      <c r="L318" s="322"/>
      <c r="M318" s="322"/>
      <c r="N318" s="322"/>
      <c r="O318" s="323"/>
    </row>
    <row r="319" spans="3:15" s="208" customFormat="1" x14ac:dyDescent="0.2">
      <c r="C319" s="322"/>
      <c r="D319" s="322"/>
      <c r="E319" s="322"/>
      <c r="F319" s="322"/>
      <c r="G319" s="322"/>
      <c r="H319" s="322"/>
      <c r="I319" s="322"/>
      <c r="J319" s="322"/>
      <c r="K319" s="322"/>
      <c r="L319" s="322"/>
      <c r="M319" s="322"/>
      <c r="N319" s="322"/>
      <c r="O319" s="323"/>
    </row>
    <row r="320" spans="3:15" s="208" customFormat="1" x14ac:dyDescent="0.2">
      <c r="C320" s="322"/>
      <c r="D320" s="322"/>
      <c r="E320" s="322"/>
      <c r="F320" s="322"/>
      <c r="G320" s="322"/>
      <c r="H320" s="322"/>
      <c r="I320" s="322"/>
      <c r="J320" s="322"/>
      <c r="K320" s="322"/>
      <c r="L320" s="322"/>
      <c r="M320" s="322"/>
      <c r="N320" s="322"/>
      <c r="O320" s="323"/>
    </row>
    <row r="321" spans="3:15" s="208" customFormat="1" x14ac:dyDescent="0.2">
      <c r="C321" s="322"/>
      <c r="D321" s="322"/>
      <c r="E321" s="322"/>
      <c r="F321" s="322"/>
      <c r="G321" s="322"/>
      <c r="H321" s="322"/>
      <c r="I321" s="322"/>
      <c r="J321" s="322"/>
      <c r="K321" s="322"/>
      <c r="L321" s="322"/>
      <c r="M321" s="322"/>
      <c r="N321" s="322"/>
      <c r="O321" s="323"/>
    </row>
    <row r="322" spans="3:15" s="208" customFormat="1" x14ac:dyDescent="0.2">
      <c r="C322" s="322"/>
      <c r="D322" s="322"/>
      <c r="E322" s="322"/>
      <c r="F322" s="322"/>
      <c r="G322" s="322"/>
      <c r="H322" s="322"/>
      <c r="I322" s="322"/>
      <c r="J322" s="322"/>
      <c r="K322" s="322"/>
      <c r="L322" s="322"/>
      <c r="M322" s="322"/>
      <c r="N322" s="322"/>
      <c r="O322" s="323"/>
    </row>
    <row r="323" spans="3:15" s="208" customFormat="1" x14ac:dyDescent="0.2">
      <c r="C323" s="322"/>
      <c r="D323" s="322"/>
      <c r="E323" s="322"/>
      <c r="F323" s="322"/>
      <c r="G323" s="322"/>
      <c r="H323" s="322"/>
      <c r="I323" s="322"/>
      <c r="J323" s="322"/>
      <c r="K323" s="322"/>
      <c r="L323" s="322"/>
      <c r="M323" s="322"/>
      <c r="N323" s="322"/>
      <c r="O323" s="323"/>
    </row>
    <row r="324" spans="3:15" s="208" customFormat="1" x14ac:dyDescent="0.2">
      <c r="C324" s="322"/>
      <c r="D324" s="322"/>
      <c r="E324" s="322"/>
      <c r="F324" s="322"/>
      <c r="G324" s="322"/>
      <c r="H324" s="322"/>
      <c r="I324" s="322"/>
      <c r="J324" s="322"/>
      <c r="K324" s="322"/>
      <c r="L324" s="322"/>
      <c r="M324" s="322"/>
      <c r="N324" s="322"/>
      <c r="O324" s="323"/>
    </row>
    <row r="325" spans="3:15" s="208" customFormat="1" x14ac:dyDescent="0.2">
      <c r="C325" s="322"/>
      <c r="D325" s="322"/>
      <c r="E325" s="322"/>
      <c r="F325" s="322"/>
      <c r="G325" s="322"/>
      <c r="H325" s="322"/>
      <c r="I325" s="322"/>
      <c r="J325" s="322"/>
      <c r="K325" s="322"/>
      <c r="L325" s="322"/>
      <c r="M325" s="322"/>
      <c r="N325" s="322"/>
      <c r="O325" s="323"/>
    </row>
    <row r="326" spans="3:15" s="208" customFormat="1" x14ac:dyDescent="0.2">
      <c r="C326" s="322"/>
      <c r="D326" s="322"/>
      <c r="E326" s="322"/>
      <c r="F326" s="322"/>
      <c r="G326" s="322"/>
      <c r="H326" s="322"/>
      <c r="I326" s="322"/>
      <c r="J326" s="322"/>
      <c r="K326" s="322"/>
      <c r="L326" s="322"/>
      <c r="M326" s="322"/>
      <c r="N326" s="322"/>
      <c r="O326" s="323"/>
    </row>
    <row r="327" spans="3:15" s="208" customFormat="1" x14ac:dyDescent="0.2">
      <c r="C327" s="322"/>
      <c r="D327" s="322"/>
      <c r="E327" s="322"/>
      <c r="F327" s="322"/>
      <c r="G327" s="322"/>
      <c r="H327" s="322"/>
      <c r="I327" s="322"/>
      <c r="J327" s="322"/>
      <c r="K327" s="322"/>
      <c r="L327" s="322"/>
      <c r="M327" s="322"/>
      <c r="N327" s="322"/>
      <c r="O327" s="323"/>
    </row>
    <row r="328" spans="3:15" s="208" customFormat="1" x14ac:dyDescent="0.2">
      <c r="C328" s="322"/>
      <c r="D328" s="322"/>
      <c r="E328" s="322"/>
      <c r="F328" s="322"/>
      <c r="G328" s="322"/>
      <c r="H328" s="322"/>
      <c r="I328" s="322"/>
      <c r="J328" s="322"/>
      <c r="K328" s="322"/>
      <c r="L328" s="322"/>
      <c r="M328" s="322"/>
      <c r="N328" s="322"/>
      <c r="O328" s="323"/>
    </row>
    <row r="329" spans="3:15" s="208" customFormat="1" x14ac:dyDescent="0.2">
      <c r="C329" s="322"/>
      <c r="D329" s="322"/>
      <c r="E329" s="322"/>
      <c r="F329" s="322"/>
      <c r="G329" s="322"/>
      <c r="H329" s="322"/>
      <c r="I329" s="322"/>
      <c r="J329" s="322"/>
      <c r="K329" s="322"/>
      <c r="L329" s="322"/>
      <c r="M329" s="322"/>
      <c r="N329" s="322"/>
      <c r="O329" s="323"/>
    </row>
    <row r="330" spans="3:15" s="208" customFormat="1" x14ac:dyDescent="0.2">
      <c r="C330" s="322"/>
      <c r="D330" s="322"/>
      <c r="E330" s="322"/>
      <c r="F330" s="322"/>
      <c r="G330" s="322"/>
      <c r="H330" s="322"/>
      <c r="I330" s="322"/>
      <c r="J330" s="322"/>
      <c r="K330" s="322"/>
      <c r="L330" s="322"/>
      <c r="M330" s="322"/>
      <c r="N330" s="322"/>
      <c r="O330" s="323"/>
    </row>
    <row r="331" spans="3:15" s="208" customFormat="1" x14ac:dyDescent="0.2">
      <c r="C331" s="322"/>
      <c r="D331" s="322"/>
      <c r="E331" s="322"/>
      <c r="F331" s="322"/>
      <c r="G331" s="322"/>
      <c r="H331" s="322"/>
      <c r="I331" s="322"/>
      <c r="J331" s="322"/>
      <c r="K331" s="322"/>
      <c r="L331" s="322"/>
      <c r="M331" s="322"/>
      <c r="N331" s="322"/>
      <c r="O331" s="323"/>
    </row>
    <row r="332" spans="3:15" s="208" customFormat="1" x14ac:dyDescent="0.2">
      <c r="C332" s="322"/>
      <c r="D332" s="322"/>
      <c r="E332" s="322"/>
      <c r="F332" s="322"/>
      <c r="G332" s="322"/>
      <c r="H332" s="322"/>
      <c r="I332" s="322"/>
      <c r="J332" s="322"/>
      <c r="K332" s="322"/>
      <c r="L332" s="322"/>
      <c r="M332" s="322"/>
      <c r="N332" s="322"/>
      <c r="O332" s="323"/>
    </row>
    <row r="333" spans="3:15" s="208" customFormat="1" x14ac:dyDescent="0.2">
      <c r="C333" s="322"/>
      <c r="D333" s="322"/>
      <c r="E333" s="322"/>
      <c r="F333" s="322"/>
      <c r="G333" s="322"/>
      <c r="H333" s="322"/>
      <c r="I333" s="322"/>
      <c r="J333" s="322"/>
      <c r="K333" s="322"/>
      <c r="L333" s="322"/>
      <c r="M333" s="322"/>
      <c r="N333" s="322"/>
      <c r="O333" s="323"/>
    </row>
    <row r="334" spans="3:15" s="208" customFormat="1" x14ac:dyDescent="0.2">
      <c r="C334" s="322"/>
      <c r="D334" s="322"/>
      <c r="E334" s="322"/>
      <c r="F334" s="322"/>
      <c r="G334" s="322"/>
      <c r="H334" s="322"/>
      <c r="I334" s="322"/>
      <c r="J334" s="322"/>
      <c r="K334" s="322"/>
      <c r="L334" s="322"/>
      <c r="M334" s="322"/>
      <c r="N334" s="322"/>
      <c r="O334" s="323"/>
    </row>
    <row r="335" spans="3:15" s="208" customFormat="1" x14ac:dyDescent="0.2">
      <c r="C335" s="322"/>
      <c r="D335" s="322"/>
      <c r="E335" s="322"/>
      <c r="F335" s="322"/>
      <c r="G335" s="322"/>
      <c r="H335" s="322"/>
      <c r="I335" s="322"/>
      <c r="J335" s="322"/>
      <c r="K335" s="322"/>
      <c r="L335" s="322"/>
      <c r="M335" s="322"/>
      <c r="N335" s="322"/>
      <c r="O335" s="323"/>
    </row>
    <row r="336" spans="3:15" s="208" customFormat="1" x14ac:dyDescent="0.2">
      <c r="C336" s="322"/>
      <c r="D336" s="322"/>
      <c r="E336" s="322"/>
      <c r="F336" s="322"/>
      <c r="G336" s="322"/>
      <c r="H336" s="322"/>
      <c r="I336" s="322"/>
      <c r="J336" s="322"/>
      <c r="K336" s="322"/>
      <c r="L336" s="322"/>
      <c r="M336" s="322"/>
      <c r="N336" s="322"/>
      <c r="O336" s="323"/>
    </row>
    <row r="337" spans="3:15" s="208" customFormat="1" x14ac:dyDescent="0.2">
      <c r="C337" s="322"/>
      <c r="D337" s="322"/>
      <c r="E337" s="322"/>
      <c r="F337" s="322"/>
      <c r="G337" s="322"/>
      <c r="H337" s="322"/>
      <c r="I337" s="322"/>
      <c r="J337" s="322"/>
      <c r="K337" s="322"/>
      <c r="L337" s="322"/>
      <c r="M337" s="322"/>
      <c r="N337" s="322"/>
      <c r="O337" s="323"/>
    </row>
    <row r="338" spans="3:15" s="208" customFormat="1" x14ac:dyDescent="0.2">
      <c r="C338" s="322"/>
      <c r="D338" s="322"/>
      <c r="E338" s="322"/>
      <c r="F338" s="322"/>
      <c r="G338" s="322"/>
      <c r="H338" s="322"/>
      <c r="I338" s="322"/>
      <c r="J338" s="322"/>
      <c r="K338" s="322"/>
      <c r="L338" s="322"/>
      <c r="M338" s="322"/>
      <c r="N338" s="322"/>
      <c r="O338" s="323"/>
    </row>
    <row r="339" spans="3:15" s="208" customFormat="1" x14ac:dyDescent="0.2">
      <c r="C339" s="322"/>
      <c r="D339" s="322"/>
      <c r="E339" s="322"/>
      <c r="F339" s="322"/>
      <c r="G339" s="322"/>
      <c r="H339" s="322"/>
      <c r="I339" s="322"/>
      <c r="J339" s="322"/>
      <c r="K339" s="322"/>
      <c r="L339" s="322"/>
      <c r="M339" s="322"/>
      <c r="N339" s="322"/>
      <c r="O339" s="323"/>
    </row>
    <row r="340" spans="3:15" s="208" customFormat="1" x14ac:dyDescent="0.2">
      <c r="C340" s="322"/>
      <c r="D340" s="322"/>
      <c r="E340" s="322"/>
      <c r="F340" s="322"/>
      <c r="G340" s="322"/>
      <c r="H340" s="322"/>
      <c r="I340" s="322"/>
      <c r="J340" s="322"/>
      <c r="K340" s="322"/>
      <c r="L340" s="322"/>
      <c r="M340" s="322"/>
      <c r="N340" s="322"/>
      <c r="O340" s="323"/>
    </row>
    <row r="341" spans="3:15" s="208" customFormat="1" x14ac:dyDescent="0.2">
      <c r="C341" s="322"/>
      <c r="D341" s="322"/>
      <c r="E341" s="322"/>
      <c r="F341" s="322"/>
      <c r="G341" s="322"/>
      <c r="H341" s="322"/>
      <c r="I341" s="322"/>
      <c r="J341" s="322"/>
      <c r="K341" s="322"/>
      <c r="L341" s="322"/>
      <c r="M341" s="322"/>
      <c r="N341" s="322"/>
      <c r="O341" s="323"/>
    </row>
    <row r="342" spans="3:15" s="208" customFormat="1" x14ac:dyDescent="0.2">
      <c r="C342" s="322"/>
      <c r="D342" s="322"/>
      <c r="E342" s="322"/>
      <c r="F342" s="322"/>
      <c r="G342" s="322"/>
      <c r="H342" s="322"/>
      <c r="I342" s="322"/>
      <c r="J342" s="322"/>
      <c r="K342" s="322"/>
      <c r="L342" s="322"/>
      <c r="M342" s="322"/>
      <c r="N342" s="322"/>
      <c r="O342" s="323"/>
    </row>
    <row r="343" spans="3:15" s="208" customFormat="1" x14ac:dyDescent="0.2">
      <c r="C343" s="322"/>
      <c r="D343" s="322"/>
      <c r="E343" s="322"/>
      <c r="F343" s="322"/>
      <c r="G343" s="322"/>
      <c r="H343" s="322"/>
      <c r="I343" s="322"/>
      <c r="J343" s="322"/>
      <c r="K343" s="322"/>
      <c r="L343" s="322"/>
      <c r="M343" s="322"/>
      <c r="N343" s="322"/>
      <c r="O343" s="323"/>
    </row>
    <row r="344" spans="3:15" s="208" customFormat="1" x14ac:dyDescent="0.2">
      <c r="C344" s="322"/>
      <c r="D344" s="322"/>
      <c r="E344" s="322"/>
      <c r="F344" s="322"/>
      <c r="G344" s="322"/>
      <c r="H344" s="322"/>
      <c r="I344" s="322"/>
      <c r="J344" s="322"/>
      <c r="K344" s="322"/>
      <c r="L344" s="322"/>
      <c r="M344" s="322"/>
      <c r="N344" s="322"/>
      <c r="O344" s="323"/>
    </row>
    <row r="345" spans="3:15" s="208" customFormat="1" x14ac:dyDescent="0.2">
      <c r="C345" s="322"/>
      <c r="D345" s="322"/>
      <c r="E345" s="322"/>
      <c r="F345" s="322"/>
      <c r="G345" s="322"/>
      <c r="H345" s="322"/>
      <c r="I345" s="322"/>
      <c r="J345" s="322"/>
      <c r="K345" s="322"/>
      <c r="L345" s="322"/>
      <c r="M345" s="322"/>
      <c r="N345" s="322"/>
      <c r="O345" s="323"/>
    </row>
    <row r="346" spans="3:15" s="208" customFormat="1" x14ac:dyDescent="0.2">
      <c r="C346" s="322"/>
      <c r="D346" s="322"/>
      <c r="E346" s="322"/>
      <c r="F346" s="322"/>
      <c r="G346" s="322"/>
      <c r="H346" s="322"/>
      <c r="I346" s="322"/>
      <c r="J346" s="322"/>
      <c r="K346" s="322"/>
      <c r="L346" s="322"/>
      <c r="M346" s="322"/>
      <c r="N346" s="322"/>
      <c r="O346" s="323"/>
    </row>
    <row r="347" spans="3:15" s="208" customFormat="1" x14ac:dyDescent="0.2">
      <c r="C347" s="322"/>
      <c r="D347" s="322"/>
      <c r="E347" s="322"/>
      <c r="F347" s="322"/>
      <c r="G347" s="322"/>
      <c r="H347" s="322"/>
      <c r="I347" s="322"/>
      <c r="J347" s="322"/>
      <c r="K347" s="322"/>
      <c r="L347" s="322"/>
      <c r="M347" s="322"/>
      <c r="N347" s="322"/>
      <c r="O347" s="323"/>
    </row>
    <row r="348" spans="3:15" s="208" customFormat="1" x14ac:dyDescent="0.2">
      <c r="C348" s="322"/>
      <c r="D348" s="322"/>
      <c r="E348" s="322"/>
      <c r="F348" s="322"/>
      <c r="G348" s="322"/>
      <c r="H348" s="322"/>
      <c r="I348" s="322"/>
      <c r="J348" s="322"/>
      <c r="K348" s="322"/>
      <c r="L348" s="322"/>
      <c r="M348" s="322"/>
      <c r="N348" s="322"/>
      <c r="O348" s="323"/>
    </row>
    <row r="349" spans="3:15" s="208" customFormat="1" x14ac:dyDescent="0.2">
      <c r="C349" s="322"/>
      <c r="D349" s="322"/>
      <c r="E349" s="322"/>
      <c r="F349" s="322"/>
      <c r="G349" s="322"/>
      <c r="H349" s="322"/>
      <c r="I349" s="322"/>
      <c r="J349" s="322"/>
      <c r="K349" s="322"/>
      <c r="L349" s="322"/>
      <c r="M349" s="322"/>
      <c r="N349" s="322"/>
      <c r="O349" s="323"/>
    </row>
    <row r="350" spans="3:15" s="208" customFormat="1" x14ac:dyDescent="0.2">
      <c r="C350" s="322"/>
      <c r="D350" s="322"/>
      <c r="E350" s="322"/>
      <c r="F350" s="322"/>
      <c r="G350" s="322"/>
      <c r="H350" s="322"/>
      <c r="I350" s="322"/>
      <c r="J350" s="322"/>
      <c r="K350" s="322"/>
      <c r="L350" s="322"/>
      <c r="M350" s="322"/>
      <c r="N350" s="322"/>
      <c r="O350" s="323"/>
    </row>
    <row r="351" spans="3:15" s="208" customFormat="1" x14ac:dyDescent="0.2">
      <c r="C351" s="322"/>
      <c r="D351" s="322"/>
      <c r="E351" s="322"/>
      <c r="F351" s="322"/>
      <c r="G351" s="322"/>
      <c r="H351" s="322"/>
      <c r="I351" s="322"/>
      <c r="J351" s="322"/>
      <c r="K351" s="322"/>
      <c r="L351" s="322"/>
      <c r="M351" s="322"/>
      <c r="N351" s="322"/>
      <c r="O351" s="323"/>
    </row>
    <row r="352" spans="3:15" s="208" customFormat="1" x14ac:dyDescent="0.2">
      <c r="C352" s="322"/>
      <c r="D352" s="322"/>
      <c r="E352" s="322"/>
      <c r="F352" s="322"/>
      <c r="G352" s="322"/>
      <c r="H352" s="322"/>
      <c r="I352" s="322"/>
      <c r="J352" s="322"/>
      <c r="K352" s="322"/>
      <c r="L352" s="322"/>
      <c r="M352" s="322"/>
      <c r="N352" s="322"/>
      <c r="O352" s="323"/>
    </row>
    <row r="353" spans="3:15" s="208" customFormat="1" x14ac:dyDescent="0.2">
      <c r="C353" s="322"/>
      <c r="D353" s="322"/>
      <c r="E353" s="322"/>
      <c r="F353" s="322"/>
      <c r="G353" s="322"/>
      <c r="H353" s="322"/>
      <c r="I353" s="322"/>
      <c r="J353" s="322"/>
      <c r="K353" s="322"/>
      <c r="L353" s="322"/>
      <c r="M353" s="322"/>
      <c r="N353" s="322"/>
      <c r="O353" s="323"/>
    </row>
    <row r="354" spans="3:15" s="208" customFormat="1" x14ac:dyDescent="0.2">
      <c r="C354" s="322"/>
      <c r="D354" s="322"/>
      <c r="E354" s="322"/>
      <c r="F354" s="322"/>
      <c r="G354" s="322"/>
      <c r="H354" s="322"/>
      <c r="I354" s="322"/>
      <c r="J354" s="322"/>
      <c r="K354" s="322"/>
      <c r="L354" s="322"/>
      <c r="M354" s="322"/>
      <c r="N354" s="322"/>
      <c r="O354" s="323"/>
    </row>
    <row r="355" spans="3:15" s="208" customFormat="1" x14ac:dyDescent="0.2">
      <c r="C355" s="322"/>
      <c r="D355" s="322"/>
      <c r="E355" s="322"/>
      <c r="F355" s="322"/>
      <c r="G355" s="322"/>
      <c r="H355" s="322"/>
      <c r="I355" s="322"/>
      <c r="J355" s="322"/>
      <c r="K355" s="322"/>
      <c r="L355" s="322"/>
      <c r="M355" s="322"/>
      <c r="N355" s="322"/>
      <c r="O355" s="323"/>
    </row>
    <row r="356" spans="3:15" s="208" customFormat="1" x14ac:dyDescent="0.2">
      <c r="C356" s="322"/>
      <c r="D356" s="322"/>
      <c r="E356" s="322"/>
      <c r="F356" s="322"/>
      <c r="G356" s="322"/>
      <c r="H356" s="322"/>
      <c r="I356" s="322"/>
      <c r="J356" s="322"/>
      <c r="K356" s="322"/>
      <c r="L356" s="322"/>
      <c r="M356" s="322"/>
      <c r="N356" s="322"/>
      <c r="O356" s="323"/>
    </row>
    <row r="357" spans="3:15" s="208" customFormat="1" x14ac:dyDescent="0.2">
      <c r="C357" s="322"/>
      <c r="D357" s="322"/>
      <c r="E357" s="322"/>
      <c r="F357" s="322"/>
      <c r="G357" s="322"/>
      <c r="H357" s="322"/>
      <c r="I357" s="322"/>
      <c r="J357" s="322"/>
      <c r="K357" s="322"/>
      <c r="L357" s="322"/>
      <c r="M357" s="322"/>
      <c r="N357" s="322"/>
      <c r="O357" s="323"/>
    </row>
    <row r="358" spans="3:15" s="208" customFormat="1" x14ac:dyDescent="0.2">
      <c r="C358" s="322"/>
      <c r="D358" s="322"/>
      <c r="E358" s="322"/>
      <c r="F358" s="322"/>
      <c r="G358" s="322"/>
      <c r="H358" s="322"/>
      <c r="I358" s="322"/>
      <c r="J358" s="322"/>
      <c r="K358" s="322"/>
      <c r="L358" s="322"/>
      <c r="M358" s="322"/>
      <c r="N358" s="322"/>
      <c r="O358" s="323"/>
    </row>
    <row r="359" spans="3:15" s="208" customFormat="1" x14ac:dyDescent="0.2">
      <c r="C359" s="322"/>
      <c r="D359" s="322"/>
      <c r="E359" s="322"/>
      <c r="F359" s="322"/>
      <c r="G359" s="322"/>
      <c r="H359" s="322"/>
      <c r="I359" s="322"/>
      <c r="J359" s="322"/>
      <c r="K359" s="322"/>
      <c r="L359" s="322"/>
      <c r="M359" s="322"/>
      <c r="N359" s="322"/>
      <c r="O359" s="323"/>
    </row>
    <row r="360" spans="3:15" s="208" customFormat="1" x14ac:dyDescent="0.2">
      <c r="C360" s="322"/>
      <c r="D360" s="322"/>
      <c r="E360" s="322"/>
      <c r="F360" s="322"/>
      <c r="G360" s="322"/>
      <c r="H360" s="322"/>
      <c r="I360" s="322"/>
      <c r="J360" s="322"/>
      <c r="K360" s="322"/>
      <c r="L360" s="322"/>
      <c r="M360" s="322"/>
      <c r="N360" s="322"/>
      <c r="O360" s="323"/>
    </row>
    <row r="361" spans="3:15" s="208" customFormat="1" x14ac:dyDescent="0.2">
      <c r="C361" s="322"/>
      <c r="D361" s="322"/>
      <c r="E361" s="322"/>
      <c r="F361" s="322"/>
      <c r="G361" s="322"/>
      <c r="H361" s="322"/>
      <c r="I361" s="322"/>
      <c r="J361" s="322"/>
      <c r="K361" s="322"/>
      <c r="L361" s="322"/>
      <c r="M361" s="322"/>
      <c r="N361" s="322"/>
      <c r="O361" s="323"/>
    </row>
    <row r="362" spans="3:15" s="208" customFormat="1" x14ac:dyDescent="0.2">
      <c r="C362" s="322"/>
      <c r="D362" s="322"/>
      <c r="E362" s="322"/>
      <c r="F362" s="322"/>
      <c r="G362" s="322"/>
      <c r="H362" s="322"/>
      <c r="I362" s="322"/>
      <c r="J362" s="322"/>
      <c r="K362" s="322"/>
      <c r="L362" s="322"/>
      <c r="M362" s="322"/>
      <c r="N362" s="322"/>
      <c r="O362" s="323"/>
    </row>
    <row r="363" spans="3:15" s="208" customFormat="1" x14ac:dyDescent="0.2">
      <c r="C363" s="322"/>
      <c r="D363" s="322"/>
      <c r="E363" s="322"/>
      <c r="F363" s="322"/>
      <c r="G363" s="322"/>
      <c r="H363" s="322"/>
      <c r="I363" s="322"/>
      <c r="J363" s="322"/>
      <c r="K363" s="322"/>
      <c r="L363" s="322"/>
      <c r="M363" s="322"/>
      <c r="N363" s="322"/>
      <c r="O363" s="323"/>
    </row>
    <row r="364" spans="3:15" s="208" customFormat="1" x14ac:dyDescent="0.2">
      <c r="C364" s="322"/>
      <c r="D364" s="322"/>
      <c r="E364" s="322"/>
      <c r="F364" s="322"/>
      <c r="G364" s="322"/>
      <c r="H364" s="322"/>
      <c r="I364" s="322"/>
      <c r="J364" s="322"/>
      <c r="K364" s="322"/>
      <c r="L364" s="322"/>
      <c r="M364" s="322"/>
      <c r="N364" s="322"/>
      <c r="O364" s="323"/>
    </row>
    <row r="365" spans="3:15" s="208" customFormat="1" x14ac:dyDescent="0.2">
      <c r="C365" s="322"/>
      <c r="D365" s="322"/>
      <c r="E365" s="322"/>
      <c r="F365" s="322"/>
      <c r="G365" s="322"/>
      <c r="H365" s="322"/>
      <c r="I365" s="322"/>
      <c r="J365" s="322"/>
      <c r="K365" s="322"/>
      <c r="L365" s="322"/>
      <c r="M365" s="322"/>
      <c r="N365" s="322"/>
      <c r="O365" s="323"/>
    </row>
    <row r="366" spans="3:15" s="208" customFormat="1" x14ac:dyDescent="0.2">
      <c r="C366" s="322"/>
      <c r="D366" s="322"/>
      <c r="E366" s="322"/>
      <c r="F366" s="322"/>
      <c r="G366" s="322"/>
      <c r="H366" s="322"/>
      <c r="I366" s="322"/>
      <c r="J366" s="322"/>
      <c r="K366" s="322"/>
      <c r="L366" s="322"/>
      <c r="M366" s="322"/>
      <c r="N366" s="322"/>
      <c r="O366" s="323"/>
    </row>
    <row r="367" spans="3:15" s="208" customFormat="1" x14ac:dyDescent="0.2">
      <c r="C367" s="322"/>
      <c r="D367" s="322"/>
      <c r="E367" s="322"/>
      <c r="F367" s="322"/>
      <c r="G367" s="322"/>
      <c r="H367" s="322"/>
      <c r="I367" s="322"/>
      <c r="J367" s="322"/>
      <c r="K367" s="322"/>
      <c r="L367" s="322"/>
      <c r="M367" s="322"/>
      <c r="N367" s="322"/>
      <c r="O367" s="323"/>
    </row>
    <row r="368" spans="3:15" s="208" customFormat="1" x14ac:dyDescent="0.2">
      <c r="C368" s="322"/>
      <c r="D368" s="322"/>
      <c r="E368" s="322"/>
      <c r="F368" s="322"/>
      <c r="G368" s="322"/>
      <c r="H368" s="322"/>
      <c r="I368" s="322"/>
      <c r="J368" s="322"/>
      <c r="K368" s="322"/>
      <c r="L368" s="322"/>
      <c r="M368" s="322"/>
      <c r="N368" s="322"/>
      <c r="O368" s="323"/>
    </row>
    <row r="369" spans="3:15" s="208" customFormat="1" x14ac:dyDescent="0.2">
      <c r="C369" s="322"/>
      <c r="D369" s="322"/>
      <c r="E369" s="322"/>
      <c r="F369" s="322"/>
      <c r="G369" s="322"/>
      <c r="H369" s="322"/>
      <c r="I369" s="322"/>
      <c r="J369" s="322"/>
      <c r="K369" s="322"/>
      <c r="L369" s="322"/>
      <c r="M369" s="322"/>
      <c r="N369" s="322"/>
      <c r="O369" s="323"/>
    </row>
    <row r="370" spans="3:15" s="208" customFormat="1" x14ac:dyDescent="0.2">
      <c r="C370" s="322"/>
      <c r="D370" s="322"/>
      <c r="E370" s="322"/>
      <c r="F370" s="322"/>
      <c r="G370" s="322"/>
      <c r="H370" s="322"/>
      <c r="I370" s="322"/>
      <c r="J370" s="322"/>
      <c r="K370" s="322"/>
      <c r="L370" s="322"/>
      <c r="M370" s="322"/>
      <c r="N370" s="322"/>
      <c r="O370" s="323"/>
    </row>
    <row r="371" spans="3:15" s="208" customFormat="1" x14ac:dyDescent="0.2">
      <c r="C371" s="322"/>
      <c r="D371" s="322"/>
      <c r="E371" s="322"/>
      <c r="F371" s="322"/>
      <c r="G371" s="322"/>
      <c r="H371" s="322"/>
      <c r="I371" s="322"/>
      <c r="J371" s="322"/>
      <c r="K371" s="322"/>
      <c r="L371" s="322"/>
      <c r="M371" s="322"/>
      <c r="N371" s="322"/>
      <c r="O371" s="323"/>
    </row>
    <row r="372" spans="3:15" s="208" customFormat="1" x14ac:dyDescent="0.2">
      <c r="C372" s="322"/>
      <c r="D372" s="322"/>
      <c r="E372" s="322"/>
      <c r="F372" s="322"/>
      <c r="G372" s="322"/>
      <c r="H372" s="322"/>
      <c r="I372" s="322"/>
      <c r="J372" s="322"/>
      <c r="K372" s="322"/>
      <c r="L372" s="322"/>
      <c r="M372" s="322"/>
      <c r="N372" s="322"/>
      <c r="O372" s="323"/>
    </row>
    <row r="373" spans="3:15" s="208" customFormat="1" x14ac:dyDescent="0.2">
      <c r="C373" s="322"/>
      <c r="D373" s="322"/>
      <c r="E373" s="322"/>
      <c r="F373" s="322"/>
      <c r="G373" s="322"/>
      <c r="H373" s="322"/>
      <c r="I373" s="322"/>
      <c r="J373" s="322"/>
      <c r="K373" s="322"/>
      <c r="L373" s="322"/>
      <c r="M373" s="322"/>
      <c r="N373" s="322"/>
      <c r="O373" s="323"/>
    </row>
    <row r="374" spans="3:15" s="208" customFormat="1" x14ac:dyDescent="0.2">
      <c r="C374" s="322"/>
      <c r="D374" s="322"/>
      <c r="E374" s="322"/>
      <c r="F374" s="322"/>
      <c r="G374" s="322"/>
      <c r="H374" s="322"/>
      <c r="I374" s="322"/>
      <c r="J374" s="322"/>
      <c r="K374" s="322"/>
      <c r="L374" s="322"/>
      <c r="M374" s="322"/>
      <c r="N374" s="322"/>
      <c r="O374" s="323"/>
    </row>
    <row r="375" spans="3:15" s="208" customFormat="1" x14ac:dyDescent="0.2">
      <c r="C375" s="322"/>
      <c r="D375" s="322"/>
      <c r="E375" s="322"/>
      <c r="F375" s="322"/>
      <c r="G375" s="322"/>
      <c r="H375" s="322"/>
      <c r="I375" s="322"/>
      <c r="J375" s="322"/>
      <c r="K375" s="322"/>
      <c r="L375" s="322"/>
      <c r="M375" s="322"/>
      <c r="N375" s="322"/>
      <c r="O375" s="323"/>
    </row>
    <row r="376" spans="3:15" s="208" customFormat="1" x14ac:dyDescent="0.2">
      <c r="C376" s="322"/>
      <c r="D376" s="322"/>
      <c r="E376" s="322"/>
      <c r="F376" s="322"/>
      <c r="G376" s="322"/>
      <c r="H376" s="322"/>
      <c r="I376" s="322"/>
      <c r="J376" s="322"/>
      <c r="K376" s="322"/>
      <c r="L376" s="322"/>
      <c r="M376" s="322"/>
      <c r="N376" s="322"/>
      <c r="O376" s="323"/>
    </row>
    <row r="377" spans="3:15" s="208" customFormat="1" x14ac:dyDescent="0.2">
      <c r="C377" s="322"/>
      <c r="D377" s="322"/>
      <c r="E377" s="322"/>
      <c r="F377" s="322"/>
      <c r="G377" s="322"/>
      <c r="H377" s="322"/>
      <c r="I377" s="322"/>
      <c r="J377" s="322"/>
      <c r="K377" s="322"/>
      <c r="L377" s="322"/>
      <c r="M377" s="322"/>
      <c r="N377" s="322"/>
      <c r="O377" s="323"/>
    </row>
    <row r="378" spans="3:15" s="208" customFormat="1" x14ac:dyDescent="0.2">
      <c r="C378" s="322"/>
      <c r="D378" s="322"/>
      <c r="E378" s="322"/>
      <c r="F378" s="322"/>
      <c r="G378" s="322"/>
      <c r="H378" s="322"/>
      <c r="I378" s="322"/>
      <c r="J378" s="322"/>
      <c r="K378" s="322"/>
      <c r="L378" s="322"/>
      <c r="M378" s="322"/>
      <c r="N378" s="322"/>
      <c r="O378" s="323"/>
    </row>
    <row r="379" spans="3:15" s="208" customFormat="1" x14ac:dyDescent="0.2">
      <c r="C379" s="322"/>
      <c r="D379" s="322"/>
      <c r="E379" s="322"/>
      <c r="F379" s="322"/>
      <c r="G379" s="322"/>
      <c r="H379" s="322"/>
      <c r="I379" s="322"/>
      <c r="J379" s="322"/>
      <c r="K379" s="322"/>
      <c r="L379" s="322"/>
      <c r="M379" s="322"/>
      <c r="N379" s="322"/>
      <c r="O379" s="323"/>
    </row>
    <row r="380" spans="3:15" s="208" customFormat="1" x14ac:dyDescent="0.2">
      <c r="C380" s="322"/>
      <c r="D380" s="322"/>
      <c r="E380" s="322"/>
      <c r="F380" s="322"/>
      <c r="G380" s="322"/>
      <c r="H380" s="322"/>
      <c r="I380" s="322"/>
      <c r="J380" s="322"/>
      <c r="K380" s="322"/>
      <c r="L380" s="322"/>
      <c r="M380" s="322"/>
      <c r="N380" s="322"/>
      <c r="O380" s="323"/>
    </row>
    <row r="381" spans="3:15" s="208" customFormat="1" x14ac:dyDescent="0.2">
      <c r="C381" s="322"/>
      <c r="D381" s="322"/>
      <c r="E381" s="322"/>
      <c r="F381" s="322"/>
      <c r="G381" s="322"/>
      <c r="H381" s="322"/>
      <c r="I381" s="322"/>
      <c r="J381" s="322"/>
      <c r="K381" s="322"/>
      <c r="L381" s="322"/>
      <c r="M381" s="322"/>
      <c r="N381" s="322"/>
      <c r="O381" s="323"/>
    </row>
    <row r="382" spans="3:15" s="208" customFormat="1" x14ac:dyDescent="0.2">
      <c r="C382" s="322"/>
      <c r="D382" s="322"/>
      <c r="E382" s="322"/>
      <c r="F382" s="322"/>
      <c r="G382" s="322"/>
      <c r="H382" s="322"/>
      <c r="I382" s="322"/>
      <c r="J382" s="322"/>
      <c r="K382" s="322"/>
      <c r="L382" s="322"/>
      <c r="M382" s="322"/>
      <c r="N382" s="322"/>
      <c r="O382" s="323"/>
    </row>
    <row r="383" spans="3:15" s="208" customFormat="1" x14ac:dyDescent="0.2">
      <c r="C383" s="322"/>
      <c r="D383" s="322"/>
      <c r="E383" s="322"/>
      <c r="F383" s="322"/>
      <c r="G383" s="322"/>
      <c r="H383" s="322"/>
      <c r="I383" s="322"/>
      <c r="J383" s="322"/>
      <c r="K383" s="322"/>
      <c r="L383" s="322"/>
      <c r="M383" s="322"/>
      <c r="N383" s="322"/>
      <c r="O383" s="323"/>
    </row>
    <row r="384" spans="3:15" s="208" customFormat="1" x14ac:dyDescent="0.2">
      <c r="C384" s="322"/>
      <c r="D384" s="322"/>
      <c r="E384" s="322"/>
      <c r="F384" s="322"/>
      <c r="G384" s="322"/>
      <c r="H384" s="322"/>
      <c r="I384" s="322"/>
      <c r="J384" s="322"/>
      <c r="K384" s="322"/>
      <c r="L384" s="322"/>
      <c r="M384" s="322"/>
      <c r="N384" s="322"/>
      <c r="O384" s="323"/>
    </row>
    <row r="385" spans="3:15" s="208" customFormat="1" x14ac:dyDescent="0.2">
      <c r="C385" s="322"/>
      <c r="D385" s="322"/>
      <c r="E385" s="322"/>
      <c r="F385" s="322"/>
      <c r="G385" s="322"/>
      <c r="H385" s="322"/>
      <c r="I385" s="322"/>
      <c r="J385" s="322"/>
      <c r="K385" s="322"/>
      <c r="L385" s="322"/>
      <c r="M385" s="322"/>
      <c r="N385" s="322"/>
      <c r="O385" s="323"/>
    </row>
    <row r="386" spans="3:15" s="208" customFormat="1" x14ac:dyDescent="0.2">
      <c r="C386" s="322"/>
      <c r="D386" s="322"/>
      <c r="E386" s="322"/>
      <c r="F386" s="322"/>
      <c r="G386" s="322"/>
      <c r="H386" s="322"/>
      <c r="I386" s="322"/>
      <c r="J386" s="322"/>
      <c r="K386" s="322"/>
      <c r="L386" s="322"/>
      <c r="M386" s="322"/>
      <c r="N386" s="322"/>
      <c r="O386" s="323"/>
    </row>
    <row r="387" spans="3:15" s="208" customFormat="1" x14ac:dyDescent="0.2">
      <c r="C387" s="322"/>
      <c r="D387" s="322"/>
      <c r="E387" s="322"/>
      <c r="F387" s="322"/>
      <c r="G387" s="322"/>
      <c r="H387" s="322"/>
      <c r="I387" s="322"/>
      <c r="J387" s="322"/>
      <c r="K387" s="322"/>
      <c r="L387" s="322"/>
      <c r="M387" s="322"/>
      <c r="N387" s="322"/>
      <c r="O387" s="323"/>
    </row>
    <row r="388" spans="3:15" s="208" customFormat="1" x14ac:dyDescent="0.2">
      <c r="C388" s="322"/>
      <c r="D388" s="322"/>
      <c r="E388" s="322"/>
      <c r="F388" s="322"/>
      <c r="G388" s="322"/>
      <c r="H388" s="322"/>
      <c r="I388" s="322"/>
      <c r="J388" s="322"/>
      <c r="K388" s="322"/>
      <c r="L388" s="322"/>
      <c r="M388" s="322"/>
      <c r="N388" s="322"/>
      <c r="O388" s="323"/>
    </row>
    <row r="389" spans="3:15" s="208" customFormat="1" x14ac:dyDescent="0.2">
      <c r="C389" s="322"/>
      <c r="D389" s="322"/>
      <c r="E389" s="322"/>
      <c r="F389" s="322"/>
      <c r="G389" s="322"/>
      <c r="H389" s="322"/>
      <c r="I389" s="322"/>
      <c r="J389" s="322"/>
      <c r="K389" s="322"/>
      <c r="L389" s="322"/>
      <c r="M389" s="322"/>
      <c r="N389" s="322"/>
      <c r="O389" s="323"/>
    </row>
    <row r="390" spans="3:15" s="208" customFormat="1" x14ac:dyDescent="0.2">
      <c r="C390" s="322"/>
      <c r="D390" s="322"/>
      <c r="E390" s="322"/>
      <c r="F390" s="322"/>
      <c r="G390" s="322"/>
      <c r="H390" s="322"/>
      <c r="I390" s="322"/>
      <c r="J390" s="322"/>
      <c r="K390" s="322"/>
      <c r="L390" s="322"/>
      <c r="M390" s="322"/>
      <c r="N390" s="322"/>
      <c r="O390" s="323"/>
    </row>
    <row r="391" spans="3:15" s="208" customFormat="1" x14ac:dyDescent="0.2">
      <c r="C391" s="322"/>
      <c r="D391" s="322"/>
      <c r="E391" s="322"/>
      <c r="F391" s="322"/>
      <c r="G391" s="322"/>
      <c r="H391" s="322"/>
      <c r="I391" s="322"/>
      <c r="J391" s="322"/>
      <c r="K391" s="322"/>
      <c r="L391" s="322"/>
      <c r="M391" s="322"/>
      <c r="N391" s="322"/>
      <c r="O391" s="323"/>
    </row>
    <row r="392" spans="3:15" s="208" customFormat="1" x14ac:dyDescent="0.2">
      <c r="C392" s="322"/>
      <c r="D392" s="322"/>
      <c r="E392" s="322"/>
      <c r="F392" s="322"/>
      <c r="G392" s="322"/>
      <c r="H392" s="322"/>
      <c r="I392" s="322"/>
      <c r="J392" s="322"/>
      <c r="K392" s="322"/>
      <c r="L392" s="322"/>
      <c r="M392" s="322"/>
      <c r="N392" s="322"/>
      <c r="O392" s="323"/>
    </row>
    <row r="393" spans="3:15" s="208" customFormat="1" x14ac:dyDescent="0.2">
      <c r="C393" s="322"/>
      <c r="D393" s="322"/>
      <c r="E393" s="322"/>
      <c r="F393" s="322"/>
      <c r="G393" s="322"/>
      <c r="H393" s="322"/>
      <c r="I393" s="322"/>
      <c r="J393" s="322"/>
      <c r="K393" s="322"/>
      <c r="L393" s="322"/>
      <c r="M393" s="322"/>
      <c r="N393" s="322"/>
      <c r="O393" s="323"/>
    </row>
    <row r="394" spans="3:15" s="208" customFormat="1" x14ac:dyDescent="0.2">
      <c r="C394" s="322"/>
      <c r="D394" s="322"/>
      <c r="E394" s="322"/>
      <c r="F394" s="322"/>
      <c r="G394" s="322"/>
      <c r="H394" s="322"/>
      <c r="I394" s="322"/>
      <c r="J394" s="322"/>
      <c r="K394" s="322"/>
      <c r="L394" s="322"/>
      <c r="M394" s="322"/>
      <c r="N394" s="322"/>
      <c r="O394" s="323"/>
    </row>
    <row r="395" spans="3:15" s="208" customFormat="1" x14ac:dyDescent="0.2">
      <c r="C395" s="322"/>
      <c r="D395" s="322"/>
      <c r="E395" s="322"/>
      <c r="F395" s="322"/>
      <c r="G395" s="322"/>
      <c r="H395" s="322"/>
      <c r="I395" s="322"/>
      <c r="J395" s="322"/>
      <c r="K395" s="322"/>
      <c r="L395" s="322"/>
      <c r="M395" s="322"/>
      <c r="N395" s="322"/>
      <c r="O395" s="323"/>
    </row>
    <row r="396" spans="3:15" s="208" customFormat="1" x14ac:dyDescent="0.2">
      <c r="C396" s="322"/>
      <c r="D396" s="322"/>
      <c r="E396" s="322"/>
      <c r="F396" s="322"/>
      <c r="G396" s="322"/>
      <c r="H396" s="322"/>
      <c r="I396" s="322"/>
      <c r="J396" s="322"/>
      <c r="K396" s="322"/>
      <c r="L396" s="322"/>
      <c r="M396" s="322"/>
      <c r="N396" s="322"/>
      <c r="O396" s="323"/>
    </row>
    <row r="397" spans="3:15" s="208" customFormat="1" x14ac:dyDescent="0.2">
      <c r="C397" s="322"/>
      <c r="D397" s="322"/>
      <c r="E397" s="322"/>
      <c r="F397" s="322"/>
      <c r="G397" s="322"/>
      <c r="H397" s="322"/>
      <c r="I397" s="322"/>
      <c r="J397" s="322"/>
      <c r="K397" s="322"/>
      <c r="L397" s="322"/>
      <c r="M397" s="322"/>
      <c r="N397" s="322"/>
      <c r="O397" s="323"/>
    </row>
    <row r="398" spans="3:15" s="208" customFormat="1" x14ac:dyDescent="0.2">
      <c r="C398" s="322"/>
      <c r="D398" s="322"/>
      <c r="E398" s="322"/>
      <c r="F398" s="322"/>
      <c r="G398" s="322"/>
      <c r="H398" s="322"/>
      <c r="I398" s="322"/>
      <c r="J398" s="322"/>
      <c r="K398" s="322"/>
      <c r="L398" s="322"/>
      <c r="M398" s="322"/>
      <c r="N398" s="322"/>
      <c r="O398" s="323"/>
    </row>
    <row r="399" spans="3:15" s="208" customFormat="1" x14ac:dyDescent="0.2">
      <c r="C399" s="322"/>
      <c r="D399" s="322"/>
      <c r="E399" s="322"/>
      <c r="F399" s="322"/>
      <c r="G399" s="322"/>
      <c r="H399" s="322"/>
      <c r="I399" s="322"/>
      <c r="J399" s="322"/>
      <c r="K399" s="322"/>
      <c r="L399" s="322"/>
      <c r="M399" s="322"/>
      <c r="N399" s="322"/>
      <c r="O399" s="323"/>
    </row>
    <row r="400" spans="3:15" s="208" customFormat="1" x14ac:dyDescent="0.2">
      <c r="C400" s="322"/>
      <c r="D400" s="322"/>
      <c r="E400" s="322"/>
      <c r="F400" s="322"/>
      <c r="G400" s="322"/>
      <c r="H400" s="322"/>
      <c r="I400" s="322"/>
      <c r="J400" s="322"/>
      <c r="K400" s="322"/>
      <c r="L400" s="322"/>
      <c r="M400" s="322"/>
      <c r="N400" s="322"/>
      <c r="O400" s="323"/>
    </row>
    <row r="401" spans="3:15" s="208" customFormat="1" x14ac:dyDescent="0.2">
      <c r="C401" s="322"/>
      <c r="D401" s="322"/>
      <c r="E401" s="322"/>
      <c r="F401" s="322"/>
      <c r="G401" s="322"/>
      <c r="H401" s="322"/>
      <c r="I401" s="322"/>
      <c r="J401" s="322"/>
      <c r="K401" s="322"/>
      <c r="L401" s="322"/>
      <c r="M401" s="322"/>
      <c r="N401" s="322"/>
      <c r="O401" s="323"/>
    </row>
    <row r="402" spans="3:15" s="208" customFormat="1" x14ac:dyDescent="0.2">
      <c r="C402" s="322"/>
      <c r="D402" s="322"/>
      <c r="E402" s="322"/>
      <c r="F402" s="322"/>
      <c r="G402" s="322"/>
      <c r="H402" s="322"/>
      <c r="I402" s="322"/>
      <c r="J402" s="322"/>
      <c r="K402" s="322"/>
      <c r="L402" s="322"/>
      <c r="M402" s="322"/>
      <c r="N402" s="322"/>
      <c r="O402" s="323"/>
    </row>
    <row r="403" spans="3:15" s="208" customFormat="1" x14ac:dyDescent="0.2">
      <c r="C403" s="322"/>
      <c r="D403" s="322"/>
      <c r="E403" s="322"/>
      <c r="F403" s="322"/>
      <c r="G403" s="322"/>
      <c r="H403" s="322"/>
      <c r="I403" s="322"/>
      <c r="J403" s="322"/>
      <c r="K403" s="322"/>
      <c r="L403" s="322"/>
      <c r="M403" s="322"/>
      <c r="N403" s="322"/>
      <c r="O403" s="323"/>
    </row>
    <row r="404" spans="3:15" s="208" customFormat="1" x14ac:dyDescent="0.2">
      <c r="C404" s="322"/>
      <c r="D404" s="322"/>
      <c r="E404" s="322"/>
      <c r="F404" s="322"/>
      <c r="G404" s="322"/>
      <c r="H404" s="322"/>
      <c r="I404" s="322"/>
      <c r="J404" s="322"/>
      <c r="K404" s="322"/>
      <c r="L404" s="322"/>
      <c r="M404" s="322"/>
      <c r="N404" s="322"/>
      <c r="O404" s="323"/>
    </row>
    <row r="405" spans="3:15" s="208" customFormat="1" x14ac:dyDescent="0.2">
      <c r="C405" s="322"/>
      <c r="D405" s="322"/>
      <c r="E405" s="322"/>
      <c r="F405" s="322"/>
      <c r="G405" s="322"/>
      <c r="H405" s="322"/>
      <c r="I405" s="322"/>
      <c r="J405" s="322"/>
      <c r="K405" s="322"/>
      <c r="L405" s="322"/>
      <c r="M405" s="322"/>
      <c r="N405" s="322"/>
      <c r="O405" s="323"/>
    </row>
    <row r="406" spans="3:15" s="208" customFormat="1" x14ac:dyDescent="0.2">
      <c r="C406" s="322"/>
      <c r="D406" s="322"/>
      <c r="E406" s="322"/>
      <c r="F406" s="322"/>
      <c r="G406" s="322"/>
      <c r="H406" s="322"/>
      <c r="I406" s="322"/>
      <c r="J406" s="322"/>
      <c r="K406" s="322"/>
      <c r="L406" s="322"/>
      <c r="M406" s="322"/>
      <c r="N406" s="322"/>
      <c r="O406" s="323"/>
    </row>
    <row r="407" spans="3:15" s="208" customFormat="1" x14ac:dyDescent="0.2">
      <c r="C407" s="322"/>
      <c r="D407" s="322"/>
      <c r="E407" s="322"/>
      <c r="F407" s="322"/>
      <c r="G407" s="322"/>
      <c r="H407" s="322"/>
      <c r="I407" s="322"/>
      <c r="J407" s="322"/>
      <c r="K407" s="322"/>
      <c r="L407" s="322"/>
      <c r="M407" s="322"/>
      <c r="N407" s="322"/>
      <c r="O407" s="323"/>
    </row>
    <row r="408" spans="3:15" s="208" customFormat="1" x14ac:dyDescent="0.2">
      <c r="C408" s="322"/>
      <c r="D408" s="322"/>
      <c r="E408" s="322"/>
      <c r="F408" s="322"/>
      <c r="G408" s="322"/>
      <c r="H408" s="322"/>
      <c r="I408" s="322"/>
      <c r="J408" s="322"/>
      <c r="K408" s="322"/>
      <c r="L408" s="322"/>
      <c r="M408" s="322"/>
      <c r="N408" s="322"/>
      <c r="O408" s="323"/>
    </row>
    <row r="409" spans="3:15" s="208" customFormat="1" x14ac:dyDescent="0.2">
      <c r="C409" s="322"/>
      <c r="D409" s="322"/>
      <c r="E409" s="322"/>
      <c r="F409" s="322"/>
      <c r="G409" s="322"/>
      <c r="H409" s="322"/>
      <c r="I409" s="322"/>
      <c r="J409" s="322"/>
      <c r="K409" s="322"/>
      <c r="L409" s="322"/>
      <c r="M409" s="322"/>
      <c r="N409" s="322"/>
      <c r="O409" s="323"/>
    </row>
    <row r="410" spans="3:15" s="208" customFormat="1" x14ac:dyDescent="0.2">
      <c r="C410" s="322"/>
      <c r="D410" s="322"/>
      <c r="E410" s="322"/>
      <c r="F410" s="322"/>
      <c r="G410" s="322"/>
      <c r="H410" s="322"/>
      <c r="I410" s="322"/>
      <c r="J410" s="322"/>
      <c r="K410" s="322"/>
      <c r="L410" s="322"/>
      <c r="M410" s="322"/>
      <c r="N410" s="322"/>
      <c r="O410" s="323"/>
    </row>
    <row r="411" spans="3:15" s="208" customFormat="1" x14ac:dyDescent="0.2">
      <c r="C411" s="322"/>
      <c r="D411" s="322"/>
      <c r="E411" s="322"/>
      <c r="F411" s="322"/>
      <c r="G411" s="322"/>
      <c r="H411" s="322"/>
      <c r="I411" s="322"/>
      <c r="J411" s="322"/>
      <c r="K411" s="322"/>
      <c r="L411" s="322"/>
      <c r="M411" s="322"/>
      <c r="N411" s="322"/>
      <c r="O411" s="323"/>
    </row>
    <row r="412" spans="3:15" s="208" customFormat="1" x14ac:dyDescent="0.2">
      <c r="C412" s="322"/>
      <c r="D412" s="322"/>
      <c r="E412" s="322"/>
      <c r="F412" s="322"/>
      <c r="G412" s="322"/>
      <c r="H412" s="322"/>
      <c r="I412" s="322"/>
      <c r="J412" s="322"/>
      <c r="K412" s="322"/>
      <c r="L412" s="322"/>
      <c r="M412" s="322"/>
      <c r="N412" s="322"/>
      <c r="O412" s="323"/>
    </row>
    <row r="413" spans="3:15" s="208" customFormat="1" x14ac:dyDescent="0.2">
      <c r="C413" s="322"/>
      <c r="D413" s="322"/>
      <c r="E413" s="322"/>
      <c r="F413" s="322"/>
      <c r="G413" s="322"/>
      <c r="H413" s="322"/>
      <c r="I413" s="322"/>
      <c r="J413" s="322"/>
      <c r="K413" s="322"/>
      <c r="L413" s="322"/>
      <c r="M413" s="322"/>
      <c r="N413" s="322"/>
      <c r="O413" s="323"/>
    </row>
    <row r="414" spans="3:15" s="208" customFormat="1" x14ac:dyDescent="0.2">
      <c r="C414" s="322"/>
      <c r="D414" s="322"/>
      <c r="E414" s="322"/>
      <c r="F414" s="322"/>
      <c r="G414" s="322"/>
      <c r="H414" s="322"/>
      <c r="I414" s="322"/>
      <c r="J414" s="322"/>
      <c r="K414" s="322"/>
      <c r="L414" s="322"/>
      <c r="M414" s="322"/>
      <c r="N414" s="322"/>
      <c r="O414" s="323"/>
    </row>
    <row r="415" spans="3:15" s="208" customFormat="1" x14ac:dyDescent="0.2">
      <c r="C415" s="322"/>
      <c r="D415" s="322"/>
      <c r="E415" s="322"/>
      <c r="F415" s="322"/>
      <c r="G415" s="322"/>
      <c r="H415" s="322"/>
      <c r="I415" s="322"/>
      <c r="J415" s="322"/>
      <c r="K415" s="322"/>
      <c r="L415" s="322"/>
      <c r="M415" s="322"/>
      <c r="N415" s="322"/>
      <c r="O415" s="323"/>
    </row>
  </sheetData>
  <sheetProtection password="B2FB" sheet="1" objects="1" scenarios="1"/>
  <protectedRanges>
    <protectedRange sqref="A89:IV412" name="Range2"/>
    <protectedRange sqref="R1:BZ65536" name="Range1"/>
  </protectedRanges>
  <phoneticPr fontId="2"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0567F55844E3645A56A525FA1798ECB" ma:contentTypeVersion="1" ma:contentTypeDescription="Een nieuw document maken." ma:contentTypeScope="" ma:versionID="d757072640a0e9eb792dbe61678306d7">
  <xsd:schema xmlns:xsd="http://www.w3.org/2001/XMLSchema" xmlns:xs="http://www.w3.org/2001/XMLSchema" xmlns:p="http://schemas.microsoft.com/office/2006/metadata/properties" xmlns:ns1="http://schemas.microsoft.com/sharepoint/v3" targetNamespace="http://schemas.microsoft.com/office/2006/metadata/properties" ma:root="true" ma:fieldsID="b8f04231400c239eac0832e4aa7dd0b3"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Begindatum van de planning" ma:internalName="PublishingStartDate">
      <xsd:simpleType>
        <xsd:restriction base="dms:Unknown"/>
      </xsd:simpleType>
    </xsd:element>
    <xsd:element name="PublishingExpirationDate" ma:index="9" nillable="true" ma:displayName="Einddatum van de planning"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7AE191F-6577-4030-BAE0-BF6170BB0791}">
  <ds:schemaRefs>
    <ds:schemaRef ds:uri="http://schemas.microsoft.com/sharepoint/v3/contenttype/forms"/>
  </ds:schemaRefs>
</ds:datastoreItem>
</file>

<file path=customXml/itemProps2.xml><?xml version="1.0" encoding="utf-8"?>
<ds:datastoreItem xmlns:ds="http://schemas.openxmlformats.org/officeDocument/2006/customXml" ds:itemID="{E3514AD1-A0EE-4A43-BF4B-F7C32C2FBE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7FCB31-F738-45AA-9994-F484A46B2746}">
  <ds:schemaRefs>
    <ds:schemaRef ds:uri="http://purl.org/dc/elements/1.1/"/>
    <ds:schemaRef ds:uri="http://schemas.microsoft.com/office/infopath/2007/PartnerControls"/>
    <ds:schemaRef ds:uri="http://schemas.microsoft.com/office/2006/metadata/properties"/>
    <ds:schemaRef ds:uri="http://schemas.openxmlformats.org/package/2006/metadata/core-properties"/>
    <ds:schemaRef ds:uri="http://purl.org/dc/dcmitype/"/>
    <ds:schemaRef ds:uri="http://schemas.microsoft.com/office/2006/documentManagement/types"/>
    <ds:schemaRef ds:uri="http://schemas.microsoft.com/sharepoint/v3"/>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Handleiding</vt:lpstr>
      <vt:lpstr>ResultatenEPB</vt:lpstr>
      <vt:lpstr>Gegevensinvoer</vt:lpstr>
      <vt:lpstr>E-peil</vt:lpstr>
      <vt:lpstr>Parameters</vt:lpstr>
      <vt:lpstr>SWW</vt:lpstr>
      <vt:lpstr>zonnecollector</vt:lpstr>
      <vt:lpstr>Berekeningsresultaten</vt:lpstr>
    </vt:vector>
  </TitlesOfParts>
  <Company>Daidalos Peutz Bouwfysisch Ingenieursbureau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Friedl Decock</dc:creator>
  <cp:lastModifiedBy>De Rudder, Carmen</cp:lastModifiedBy>
  <cp:lastPrinted>2010-10-18T10:49:31Z</cp:lastPrinted>
  <dcterms:created xsi:type="dcterms:W3CDTF">2008-03-31T07:23:12Z</dcterms:created>
  <dcterms:modified xsi:type="dcterms:W3CDTF">2016-11-20T10:23:35Z</dcterms:modified>
</cp:coreProperties>
</file>